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5. Май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J40" i="1" l="1"/>
  <c r="J31" i="1" l="1"/>
  <c r="J25" i="1"/>
  <c r="J26" i="1"/>
  <c r="J22" i="1"/>
  <c r="J18" i="1"/>
  <c r="G18" i="1"/>
  <c r="J17" i="1"/>
  <c r="J14" i="1"/>
  <c r="G26" i="1"/>
  <c r="G25" i="1"/>
  <c r="K26" i="1" l="1"/>
  <c r="K25" i="1"/>
  <c r="K19" i="1"/>
  <c r="K18" i="1"/>
  <c r="K15" i="1"/>
  <c r="K16" i="1"/>
  <c r="K14" i="1"/>
  <c r="K12" i="1"/>
  <c r="J11" i="1"/>
  <c r="H31" i="1"/>
  <c r="H19" i="1"/>
  <c r="H17" i="1"/>
  <c r="H16" i="1"/>
  <c r="H14" i="1"/>
  <c r="G40" i="1"/>
  <c r="G20" i="1"/>
  <c r="G16" i="1"/>
  <c r="G15" i="1"/>
  <c r="K20" i="1" l="1"/>
  <c r="K11" i="1"/>
  <c r="J20" i="1"/>
  <c r="I12" i="1" l="1"/>
  <c r="I11" i="1"/>
  <c r="G24" i="1" l="1"/>
  <c r="G14" i="1"/>
  <c r="K24" i="1"/>
  <c r="K28" i="1"/>
  <c r="K35" i="1"/>
  <c r="K34" i="1"/>
  <c r="K40" i="1"/>
  <c r="H20" i="1"/>
  <c r="H11" i="1"/>
  <c r="J15" i="1"/>
  <c r="J8" i="1"/>
  <c r="J34" i="1" l="1"/>
  <c r="K31" i="1" l="1"/>
  <c r="K32" i="1"/>
  <c r="J30" i="1" l="1"/>
  <c r="J29" i="1"/>
  <c r="H28" i="1"/>
  <c r="G12" i="1"/>
  <c r="K17" i="1" l="1"/>
  <c r="J13" i="1"/>
  <c r="H25" i="1"/>
  <c r="G17" i="1"/>
  <c r="K13" i="1" l="1"/>
  <c r="J12" i="1"/>
  <c r="J35" i="1"/>
  <c r="J32" i="1"/>
  <c r="J28" i="1"/>
  <c r="J27" i="1"/>
  <c r="G34" i="1"/>
  <c r="G30" i="1"/>
  <c r="G28" i="1"/>
  <c r="G31" i="1"/>
  <c r="G32" i="1"/>
  <c r="G21" i="1"/>
  <c r="G13" i="1"/>
  <c r="G19" i="1"/>
  <c r="F18" i="1" l="1"/>
  <c r="H15" i="1"/>
  <c r="J16" i="1" l="1"/>
  <c r="J19" i="1"/>
  <c r="J24" i="1" l="1"/>
  <c r="H35" i="1"/>
  <c r="F19" i="1"/>
  <c r="F17" i="1"/>
  <c r="F15" i="1"/>
  <c r="K21" i="1" l="1"/>
  <c r="H18" i="1"/>
  <c r="K22" i="1" l="1"/>
  <c r="H26" i="1"/>
  <c r="K29" i="1" l="1"/>
  <c r="H13" i="1"/>
  <c r="G29" i="1"/>
  <c r="F13" i="1"/>
  <c r="G22" i="1" l="1"/>
  <c r="H34" i="1" l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K33" i="1" l="1"/>
  <c r="K27" i="1" l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<sst xmlns="http://schemas.openxmlformats.org/spreadsheetml/2006/main" count="81" uniqueCount="53">
  <si>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</si>
  <si>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</si>
  <si>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</si>
  <si>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</si>
  <si>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</si>
  <si>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</si>
  <si>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</si>
  <si>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</si>
  <si>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</si>
  <si>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</si>
  <si>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</si>
  <si>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</si>
  <si>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</si>
  <si>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</si>
  <si>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</si>
  <si>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</si>
  <si>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</si>
  <si>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</si>
  <si>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</si>
  <si>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</si>
  <si>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</si>
  <si>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</si>
  <si>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</si>
  <si>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</si>
  <si>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</si>
  <si>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</si>
  <si>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</si>
  <si>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</si>
  <si>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</si>
  <si>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</si>
  <si>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</si>
  <si>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</si>
  <si>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</si>
  <si>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</si>
  <si>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</si>
  <si>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</si>
  <si>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</si>
  <si>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</si>
  <si>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</si>
  <si>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</si>
  <si>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</si>
  <si>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</si>
  <si>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</si>
  <si>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</si>
  <si>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</si>
  <si>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</si>
  <si>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</si>
  <si>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</si>
  <si>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</si>
  <si>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</si>
  <si>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Ср. цены на 25.04.2025 год</t>
  </si>
  <si>
    <t>Информация об изменении цен на социально-значимые товары, 
реализуемые на территории г. Пыть-Ях
по состоянию на 02.05.2025 г.</t>
  </si>
  <si>
    <t>РЕГИОНАЛЬНЫЙ ИНФОРМАЦИОННЫЙ МОНИТОРИНГ ЦЕН
май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</si>
</sst>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L4" sqref="L4:L7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11.57031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6" t="s">
        <v>51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12.75" customHeight="1" x14ac:dyDescent="0.2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52</v>
      </c>
      <c r="D4" s="29"/>
      <c r="E4" s="29"/>
      <c r="F4" s="73" t="s">
        <v>38</v>
      </c>
      <c r="G4" s="73" t="s">
        <v>39</v>
      </c>
      <c r="H4" s="73" t="s">
        <v>40</v>
      </c>
      <c r="I4" s="73" t="s">
        <v>41</v>
      </c>
      <c r="J4" s="73" t="s">
        <v>42</v>
      </c>
      <c r="K4" s="73" t="s">
        <v>43</v>
      </c>
      <c r="L4" s="79" t="s">
        <v>44</v>
      </c>
      <c r="M4" s="77" t="s">
        <v>50</v>
      </c>
    </row>
    <row r="5" spans="1:15" ht="18.75" x14ac:dyDescent="0.2">
      <c r="A5" s="26"/>
      <c r="B5" s="30"/>
      <c r="C5" s="31"/>
      <c r="D5" s="32" t="s">
        <v>0</v>
      </c>
      <c r="E5" s="33"/>
      <c r="F5" s="74"/>
      <c r="G5" s="74"/>
      <c r="H5" s="74"/>
      <c r="I5" s="74"/>
      <c r="J5" s="74"/>
      <c r="K5" s="74"/>
      <c r="L5" s="80"/>
      <c r="M5" s="78"/>
    </row>
    <row r="6" spans="1:15" ht="18.75" x14ac:dyDescent="0.2">
      <c r="A6" s="26"/>
      <c r="B6" s="30"/>
      <c r="C6" s="34" t="s">
        <v>49</v>
      </c>
      <c r="D6" s="35"/>
      <c r="E6" s="36"/>
      <c r="F6" s="74"/>
      <c r="G6" s="74"/>
      <c r="H6" s="74"/>
      <c r="I6" s="74"/>
      <c r="J6" s="74"/>
      <c r="K6" s="74"/>
      <c r="L6" s="80"/>
      <c r="M6" s="78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5"/>
      <c r="G7" s="75"/>
      <c r="H7" s="75"/>
      <c r="I7" s="75"/>
      <c r="J7" s="75"/>
      <c r="K7" s="75"/>
      <c r="L7" s="81"/>
      <c r="M7" s="78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347.53258839999449</v>
      </c>
      <c r="F8" s="57"/>
      <c r="G8" s="57"/>
      <c r="H8" s="58"/>
      <c r="I8" s="59">
        <v>330</v>
      </c>
      <c r="J8" s="60">
        <f>(269+329+499.99)/3</f>
        <v>365.99666666666667</v>
      </c>
      <c r="K8" s="60"/>
      <c r="L8" s="10">
        <f>(E8/M8)*100-100</f>
        <v>0</v>
      </c>
      <c r="M8" s="14">
        <v>347.53258839999449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650</v>
      </c>
      <c r="F9" s="61"/>
      <c r="G9" s="61"/>
      <c r="H9" s="62"/>
      <c r="I9" s="59">
        <v>650</v>
      </c>
      <c r="J9" s="63"/>
      <c r="K9" s="63"/>
      <c r="L9" s="10">
        <f t="shared" ref="L9:L38" si="1">(E9/M9)*100-100</f>
        <v>0</v>
      </c>
      <c r="M9" s="14">
        <v>650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1"/>
      <c r="G10" s="61"/>
      <c r="H10" s="62"/>
      <c r="I10" s="59">
        <v>750</v>
      </c>
      <c r="J10" s="63"/>
      <c r="K10" s="63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257.61975293934512</v>
      </c>
      <c r="F11" s="61">
        <v>320</v>
      </c>
      <c r="G11" s="61">
        <v>189.99</v>
      </c>
      <c r="H11" s="61">
        <f>(360+350+300)/3</f>
        <v>336.66666666666669</v>
      </c>
      <c r="I11" s="59">
        <f>(295+350)/2</f>
        <v>322.5</v>
      </c>
      <c r="J11" s="63">
        <f>(219.99+191.99)/2</f>
        <v>205.99</v>
      </c>
      <c r="K11" s="63">
        <f>(229.99+199.99)/2</f>
        <v>214.99</v>
      </c>
      <c r="L11" s="55">
        <f t="shared" si="1"/>
        <v>-3.1342382155403072</v>
      </c>
      <c r="M11" s="14">
        <v>265.95542965179612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231.18247893777166</v>
      </c>
      <c r="F12" s="61">
        <v>250</v>
      </c>
      <c r="G12" s="61">
        <f>(114.99/0.8+239)/2</f>
        <v>191.36874999999998</v>
      </c>
      <c r="H12" s="61">
        <v>250</v>
      </c>
      <c r="I12" s="59">
        <f>(250+350)/2</f>
        <v>300</v>
      </c>
      <c r="J12" s="63">
        <f>(219.99+239.99)/2</f>
        <v>229.99</v>
      </c>
      <c r="K12" s="63">
        <f>(179.99+189.99)/2</f>
        <v>184.99</v>
      </c>
      <c r="L12" s="55">
        <f t="shared" si="1"/>
        <v>0</v>
      </c>
      <c r="M12" s="14">
        <v>231.18247893777166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61">
        <f>(250/0.18+700)/2</f>
        <v>1044.4444444444443</v>
      </c>
      <c r="G13" s="64">
        <f>(149.99/0.18+199.99/0.16+219.99/0.18+239.99/0.18)/4</f>
        <v>1159.6649305555557</v>
      </c>
      <c r="H13" s="61">
        <f>(250/0.2+700)/2</f>
        <v>975</v>
      </c>
      <c r="I13" s="59"/>
      <c r="J13" s="63">
        <f>(149.99/0.18+189.99/0.18+219.99/0.18)/3</f>
        <v>1036.9814814814815</v>
      </c>
      <c r="K13" s="63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141.12518718909917</v>
      </c>
      <c r="F14" s="61">
        <v>140</v>
      </c>
      <c r="G14" s="61">
        <f>(139.99+153.99+133.99+144.99)/4</f>
        <v>143.24</v>
      </c>
      <c r="H14" s="61">
        <f>(180+150)/2</f>
        <v>165</v>
      </c>
      <c r="I14" s="59"/>
      <c r="J14" s="63">
        <f>(99.99+129.9+139.9+149.99+156.99)/5</f>
        <v>135.35399999999998</v>
      </c>
      <c r="K14" s="61">
        <f>(109.99+134.99+109.99+144.99)/4</f>
        <v>124.99000000000001</v>
      </c>
      <c r="L14" s="55">
        <f t="shared" si="1"/>
        <v>0.81898114428329905</v>
      </c>
      <c r="M14" s="14">
        <v>139.97878731499296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103.34161166734748</v>
      </c>
      <c r="F15" s="61">
        <f>90/0.9</f>
        <v>100</v>
      </c>
      <c r="G15" s="61">
        <f>(84.99/0.9+78.99/0.9+98.99/0.9+104.99/0.9+169.99/1.4)/5</f>
        <v>106.0531746031746</v>
      </c>
      <c r="H15" s="61">
        <f>(90/0.9+100/0.9)/2</f>
        <v>105.55555555555556</v>
      </c>
      <c r="I15" s="59"/>
      <c r="J15" s="63">
        <f>(109.99/0.9+99.99/0.93+209.99/2)/3</f>
        <v>111.57408004778972</v>
      </c>
      <c r="K15" s="63">
        <f>(75.99/0.8+82.99/0.8+174.99/2+72.99/0.8)/4</f>
        <v>94.364374999999995</v>
      </c>
      <c r="L15" s="55">
        <f t="shared" si="1"/>
        <v>0</v>
      </c>
      <c r="M15" s="14">
        <v>103.34161166734748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102.55851736228777</v>
      </c>
      <c r="F16" s="61">
        <v>95</v>
      </c>
      <c r="G16" s="61">
        <f>(81.99/0.9+114.99/0.95)/2</f>
        <v>106.07105263157894</v>
      </c>
      <c r="H16" s="61">
        <f>(100/0.9+115/0.95+100)/3</f>
        <v>110.72124756335283</v>
      </c>
      <c r="I16" s="59"/>
      <c r="J16" s="63">
        <f>(94.99/0.9+104.99/0.9+219.99/2)/3</f>
        <v>110.73166666666667</v>
      </c>
      <c r="K16" s="63">
        <f>(99.99/0.9+79.99/0.9+67.99/0.9)/3</f>
        <v>91.840740740740728</v>
      </c>
      <c r="L16" s="55">
        <f t="shared" si="1"/>
        <v>0</v>
      </c>
      <c r="M16" s="14">
        <v>102.55851736228777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102.32053825893973</v>
      </c>
      <c r="F17" s="65">
        <f>100/0.9</f>
        <v>111.11111111111111</v>
      </c>
      <c r="G17" s="65">
        <f>(55.99/0.5+72.99/0.9+109.99/0.9)/3</f>
        <v>105.09703703703703</v>
      </c>
      <c r="H17" s="65">
        <f>100/0.9</f>
        <v>111.11111111111111</v>
      </c>
      <c r="I17" s="51"/>
      <c r="J17" s="65">
        <f>(82.99/0.9+67.49/0.9+39.99/0.4+42.99/0.4)/4</f>
        <v>93.662499999999994</v>
      </c>
      <c r="K17" s="65">
        <f>(79.99/0.95+54.99/0.5+44.99/0.5+84.99)/4</f>
        <v>92.287500000000009</v>
      </c>
      <c r="L17" s="55">
        <f t="shared" si="1"/>
        <v>0.55787683214030892</v>
      </c>
      <c r="M17" s="14">
        <v>101.75288250142933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275.80946569376437</v>
      </c>
      <c r="F18" s="65">
        <f>(85/0.4+120/0.4+125/0.5)/3</f>
        <v>254.16666666666666</v>
      </c>
      <c r="G18" s="65">
        <f>(72.99/0.3+79.99/0.3+99.99/0.5+139.99/0.5+159.99/0.5)/5</f>
        <v>261.97466666666668</v>
      </c>
      <c r="H18" s="65">
        <f>(140/0.47+160/0.5)/2</f>
        <v>308.936170212766</v>
      </c>
      <c r="I18" s="51"/>
      <c r="J18" s="65">
        <f>(149.99/0.5+119.99/0.5+179.99/0.5)/3</f>
        <v>299.98</v>
      </c>
      <c r="K18" s="65">
        <f>(120.99/0.5+129.99/0.5+136.99/0.5)/3</f>
        <v>258.6466666666667</v>
      </c>
      <c r="L18" s="55">
        <f t="shared" si="1"/>
        <v>1.7577695146925549</v>
      </c>
      <c r="M18" s="52">
        <v>271.04511725165213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425.96377778881958</v>
      </c>
      <c r="F19" s="65">
        <f>(215/0.5+160/0.4+195/0.4)/3</f>
        <v>439.16666666666669</v>
      </c>
      <c r="G19" s="65">
        <f>(79.99/0.18+95.19/0.3+99.99/0.3+149.99/0.38+119.99/0.3)/5</f>
        <v>377.93321637426897</v>
      </c>
      <c r="H19" s="65">
        <f>(215/0.5+220/0.5)/2</f>
        <v>435</v>
      </c>
      <c r="I19" s="51"/>
      <c r="J19" s="65">
        <f>(82.99/0.2+98/0.2+134.99/0.3+149.99/0.3+169.99/0.38)/5</f>
        <v>460.44508771929821</v>
      </c>
      <c r="K19" s="65">
        <f>(139.99/0.32+132.99/0.38+149.99/0.3+119.99/0.3)/4</f>
        <v>421.84394188596491</v>
      </c>
      <c r="L19" s="55">
        <f t="shared" si="1"/>
        <v>0</v>
      </c>
      <c r="M19" s="52">
        <v>425.96377778881958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130.00292048497369</v>
      </c>
      <c r="F20" s="61">
        <v>165</v>
      </c>
      <c r="G20" s="61">
        <f>(103.99+99.99+139.99+129.99)/4</f>
        <v>118.49000000000001</v>
      </c>
      <c r="H20" s="61">
        <f>(140+220/1.5)/2</f>
        <v>143.33333333333331</v>
      </c>
      <c r="I20" s="59"/>
      <c r="J20" s="63">
        <f>(69.99+99.99+109.99+129.99+149.99)/5</f>
        <v>111.99000000000001</v>
      </c>
      <c r="K20" s="63">
        <f>(119.99+109.99+129.99+169.99/1.5)/4</f>
        <v>118.32416666666667</v>
      </c>
      <c r="L20" s="55">
        <f t="shared" si="1"/>
        <v>0</v>
      </c>
      <c r="M20" s="52">
        <v>130.00292048497369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61">
        <v>90</v>
      </c>
      <c r="G21" s="61">
        <f>(349.99/5+69.99)/2</f>
        <v>69.994</v>
      </c>
      <c r="H21" s="61">
        <v>90</v>
      </c>
      <c r="I21" s="59"/>
      <c r="J21" s="63">
        <f>(69.99+347.99/5)/2</f>
        <v>69.793999999999997</v>
      </c>
      <c r="K21" s="63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1001.8750485367527</v>
      </c>
      <c r="F22" s="61">
        <f>140/0.1</f>
        <v>1400</v>
      </c>
      <c r="G22" s="61">
        <f>(24.89/0.1+139.99/0.25+171/0.1+122.99/0.1)/4</f>
        <v>937.19</v>
      </c>
      <c r="H22" s="61">
        <f>250/0.2</f>
        <v>1250</v>
      </c>
      <c r="I22" s="59"/>
      <c r="J22" s="63">
        <f>(29.99/0.1+179.99/0.25+149.99/0.2)/3</f>
        <v>589.93666666666661</v>
      </c>
      <c r="K22" s="63">
        <f>(89.99/0.1+219.99/0.25+269.99/0.2)/3</f>
        <v>1043.27</v>
      </c>
      <c r="L22" s="55">
        <f t="shared" si="1"/>
        <v>1.7869210385289165</v>
      </c>
      <c r="M22" s="52">
        <v>984.28662377705461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22.310033296901498</v>
      </c>
      <c r="F23" s="61">
        <v>35</v>
      </c>
      <c r="G23" s="61">
        <v>17.989999999999998</v>
      </c>
      <c r="H23" s="61">
        <v>25</v>
      </c>
      <c r="I23" s="59"/>
      <c r="J23" s="63">
        <f>(13.99+22.99)/2</f>
        <v>18.489999999999998</v>
      </c>
      <c r="K23" s="63">
        <f>18.99</f>
        <v>18.989999999999998</v>
      </c>
      <c r="L23" s="10">
        <f t="shared" si="1"/>
        <v>0</v>
      </c>
      <c r="M23" s="52">
        <v>22.310033296901498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61">
        <f>(110/2+140/2)/2</f>
        <v>62.5</v>
      </c>
      <c r="G24" s="61">
        <f>(61.99/2+119.99/2+99.99/2+74/2+69.99)/5</f>
        <v>49.594999999999992</v>
      </c>
      <c r="H24" s="61">
        <f>(110+130)/4</f>
        <v>60</v>
      </c>
      <c r="I24" s="59"/>
      <c r="J24" s="63">
        <f>(59.99/2+119.99/2+119.9/2)/3</f>
        <v>49.98</v>
      </c>
      <c r="K24" s="63">
        <f>(79.99/2+129.99/2+99.99/2)/3</f>
        <v>51.661666666666669</v>
      </c>
      <c r="L24" s="10">
        <f t="shared" si="1"/>
        <v>0</v>
      </c>
      <c r="M24" s="52">
        <v>54.486230762485285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98.863857852901845</v>
      </c>
      <c r="F25" s="61">
        <v>92</v>
      </c>
      <c r="G25" s="61">
        <f>(52.99/0.5+54.99/0.5+65.99/0.6)/3</f>
        <v>108.64777777777778</v>
      </c>
      <c r="H25" s="61">
        <f>50/0.5</f>
        <v>100</v>
      </c>
      <c r="I25" s="59"/>
      <c r="J25" s="63">
        <f>(46.99/0.5+49.99/0.5+59.99/0.6)/3</f>
        <v>97.981111111111105</v>
      </c>
      <c r="K25" s="61">
        <f>(50.99/0.5+49.99/0.55)/2</f>
        <v>96.435454545454547</v>
      </c>
      <c r="L25" s="10">
        <f t="shared" si="1"/>
        <v>0.60149150364313186</v>
      </c>
      <c r="M25" s="52">
        <v>98.272755577705965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98.187367620220556</v>
      </c>
      <c r="F26" s="61">
        <v>92</v>
      </c>
      <c r="G26" s="61">
        <f>(54.99/0.5+49.99/0.5+62.99/0.6)/3</f>
        <v>104.9811111111111</v>
      </c>
      <c r="H26" s="61">
        <f>50/0.5</f>
        <v>100</v>
      </c>
      <c r="I26" s="59"/>
      <c r="J26" s="63">
        <f>(46.99/0.5+49.99/0.5+59.99/0.6)/3</f>
        <v>97.981111111111105</v>
      </c>
      <c r="K26" s="61">
        <f>(50.99/0.5+49.99/0.55)/2</f>
        <v>96.435454545454547</v>
      </c>
      <c r="L26" s="10">
        <f t="shared" si="1"/>
        <v>0.74545322661208502</v>
      </c>
      <c r="M26" s="52">
        <v>97.460842624195166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5">
        <f>60/0.8</f>
        <v>75</v>
      </c>
      <c r="G27" s="65">
        <f>(37.99/0.8+102.99/0.8)/2</f>
        <v>88.112499999999983</v>
      </c>
      <c r="H27" s="65">
        <f>100/0.9</f>
        <v>111.11111111111111</v>
      </c>
      <c r="I27" s="66"/>
      <c r="J27" s="65">
        <f>(39.99/0.8+59.99+112.99/0.9)/3</f>
        <v>78.507314814814819</v>
      </c>
      <c r="K27" s="65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61">
        <f>(200/1.5+140/0.9)/2</f>
        <v>144.44444444444446</v>
      </c>
      <c r="G28" s="61">
        <f>(99.99/0.8+89.99/0.8+119.99/0.8)/3</f>
        <v>129.15416666666667</v>
      </c>
      <c r="H28" s="61">
        <f>(160/0.8+220/1.5)/2</f>
        <v>173.33333333333331</v>
      </c>
      <c r="I28" s="59"/>
      <c r="J28" s="63">
        <f>(66.99/0.8+99.99/0.9+119.99/0.9)/3</f>
        <v>109.38657407407406</v>
      </c>
      <c r="K28" s="63">
        <f>(84.9/0.8+119.9/0.8+99.9/0.8+139.9/0.9)/4</f>
        <v>134.07986111111111</v>
      </c>
      <c r="L28" s="10">
        <f t="shared" si="1"/>
        <v>0</v>
      </c>
      <c r="M28" s="52">
        <v>136.52235936256375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64">
        <f>90/0.9</f>
        <v>100</v>
      </c>
      <c r="G29" s="64">
        <f>41.79/0.8</f>
        <v>52.237499999999997</v>
      </c>
      <c r="H29" s="64">
        <f>100/0.8</f>
        <v>125</v>
      </c>
      <c r="I29" s="59"/>
      <c r="J29" s="63">
        <f>(39.49/0.8+76.99)/2</f>
        <v>63.176249999999996</v>
      </c>
      <c r="K29" s="63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5">
        <f>80/0.8</f>
        <v>100</v>
      </c>
      <c r="G30" s="65">
        <f>(37.99/0.8+79.99/0.7)/2</f>
        <v>80.879464285714278</v>
      </c>
      <c r="H30" s="65">
        <f>100/0.9</f>
        <v>111.11111111111111</v>
      </c>
      <c r="I30" s="66"/>
      <c r="J30" s="65">
        <f>36.99/0.7</f>
        <v>52.842857142857149</v>
      </c>
      <c r="K30" s="65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103.82581865376075</v>
      </c>
      <c r="F31" s="64">
        <f>120/0.9</f>
        <v>133.33333333333334</v>
      </c>
      <c r="G31" s="64">
        <f>(33.99/0.8+84.99/0.8+122.99/0.9)/3</f>
        <v>95.126851851851825</v>
      </c>
      <c r="H31" s="64">
        <f>(120/0.8+80)/2</f>
        <v>115</v>
      </c>
      <c r="I31" s="59"/>
      <c r="J31" s="63">
        <f>(84.99/0.9+27.99/0.8+119.99+51.99/0.5)/4</f>
        <v>88.34770833333333</v>
      </c>
      <c r="K31" s="64">
        <f>(42.9/0.8+81.9/0.8+99.9/0.8)/3</f>
        <v>93.625</v>
      </c>
      <c r="L31" s="10">
        <f t="shared" si="1"/>
        <v>0.29151023683257904</v>
      </c>
      <c r="M31" s="53">
        <v>103.52403549271727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70"/>
      <c r="G32" s="65">
        <f>(20/0.4+59.99/0.8)/2</f>
        <v>62.493749999999999</v>
      </c>
      <c r="H32" s="65">
        <f>80/0.8</f>
        <v>100</v>
      </c>
      <c r="I32" s="51"/>
      <c r="J32" s="65">
        <f>(19.99/0.4+59.99/0.9)/2</f>
        <v>58.315277777777773</v>
      </c>
      <c r="K32" s="65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5">
        <f>85/0.6</f>
        <v>141.66666666666669</v>
      </c>
      <c r="G33" s="65">
        <f>30.99/0.8</f>
        <v>38.737499999999997</v>
      </c>
      <c r="H33" s="65">
        <f>80/0.65</f>
        <v>123.07692307692307</v>
      </c>
      <c r="I33" s="51"/>
      <c r="J33" s="65">
        <f>22.99/0.6</f>
        <v>38.316666666666663</v>
      </c>
      <c r="K33" s="65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98.152002931497236</v>
      </c>
      <c r="F34" s="64">
        <f>90</f>
        <v>90</v>
      </c>
      <c r="G34" s="64">
        <f>(54.99/0.45+20.99/0.4+42.99/0.4)/3</f>
        <v>94.05</v>
      </c>
      <c r="H34" s="64">
        <f>75/0.45</f>
        <v>166.66666666666666</v>
      </c>
      <c r="I34" s="59"/>
      <c r="J34" s="63">
        <f>(22.99/0.4+39.99/0.4+55.99/0.45)/3</f>
        <v>93.957407407407402</v>
      </c>
      <c r="K34" s="63">
        <f>(19.99/0.4+34.99/0.4)/2</f>
        <v>68.724999999999994</v>
      </c>
      <c r="L34" s="55">
        <f t="shared" si="1"/>
        <v>0</v>
      </c>
      <c r="M34" s="53">
        <v>98.152002931497236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100.02110818318371</v>
      </c>
      <c r="F35" s="65">
        <f>80/0.4</f>
        <v>200</v>
      </c>
      <c r="G35" s="65">
        <f>22.99/0.4</f>
        <v>57.474999999999994</v>
      </c>
      <c r="H35" s="65">
        <f>80/0.8</f>
        <v>100</v>
      </c>
      <c r="I35" s="66"/>
      <c r="J35" s="65">
        <f>(20.99/0.4+39.99/0.4+48.99/0.45)/3</f>
        <v>87.105555555555554</v>
      </c>
      <c r="K35" s="65">
        <f>(19.99/0.45+44.99/0.45+69.99/0.45)/3</f>
        <v>99.97777777777776</v>
      </c>
      <c r="L35" s="55">
        <f t="shared" si="1"/>
        <v>0</v>
      </c>
      <c r="M35" s="53">
        <v>100.02110818318371</v>
      </c>
      <c r="N35" s="71"/>
      <c r="O35" s="72"/>
      <c r="P35" s="72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77.023706253928594</v>
      </c>
      <c r="F36" s="64">
        <v>85</v>
      </c>
      <c r="G36" s="64">
        <v>64.989999999999995</v>
      </c>
      <c r="H36" s="64">
        <v>85</v>
      </c>
      <c r="I36" s="59"/>
      <c r="J36" s="63">
        <v>76.989999999999995</v>
      </c>
      <c r="K36" s="63">
        <v>74.989999999999995</v>
      </c>
      <c r="L36" s="55">
        <f t="shared" si="1"/>
        <v>8.5642193385742047</v>
      </c>
      <c r="M36" s="53">
        <v>70.947598318483116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69.639146016107631</v>
      </c>
      <c r="F37" s="64">
        <v>85</v>
      </c>
      <c r="G37" s="64">
        <v>59.99</v>
      </c>
      <c r="H37" s="64">
        <v>85</v>
      </c>
      <c r="I37" s="59"/>
      <c r="J37" s="63">
        <v>62.99</v>
      </c>
      <c r="K37" s="63">
        <v>59.99</v>
      </c>
      <c r="L37" s="55">
        <f t="shared" si="1"/>
        <v>0</v>
      </c>
      <c r="M37" s="53">
        <v>69.639146016107631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59.993999799984444</v>
      </c>
      <c r="F38" s="64">
        <v>60</v>
      </c>
      <c r="G38" s="64">
        <v>59.99</v>
      </c>
      <c r="H38" s="64">
        <v>60</v>
      </c>
      <c r="I38" s="59"/>
      <c r="J38" s="63">
        <v>59.99</v>
      </c>
      <c r="K38" s="63">
        <v>59.99</v>
      </c>
      <c r="L38" s="55">
        <f t="shared" si="1"/>
        <v>5.5346994497664355</v>
      </c>
      <c r="M38" s="53">
        <v>56.847653058926888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52.607572274441573</v>
      </c>
      <c r="F39" s="64">
        <v>60</v>
      </c>
      <c r="G39" s="64">
        <v>39.99</v>
      </c>
      <c r="H39" s="64">
        <v>60</v>
      </c>
      <c r="I39" s="59"/>
      <c r="J39" s="63">
        <v>39.99</v>
      </c>
      <c r="K39" s="63">
        <v>69.989999999999995</v>
      </c>
      <c r="L39" s="55">
        <f>(E39/M39)*100-100</f>
        <v>0.50776919769658946</v>
      </c>
      <c r="M39" s="53">
        <v>52.341796753008836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177.15186544404889</v>
      </c>
      <c r="F40" s="67">
        <v>230</v>
      </c>
      <c r="G40" s="67">
        <f>(164.99+89.99+118.99+159.99+174.99)/5</f>
        <v>141.79000000000002</v>
      </c>
      <c r="H40" s="67">
        <v>230</v>
      </c>
      <c r="I40" s="68"/>
      <c r="J40" s="69">
        <f>(79.99+109.99+166.99+179.99+189.99)/5</f>
        <v>145.39000000000001</v>
      </c>
      <c r="K40" s="69">
        <f>(139.99+179.99)/2</f>
        <v>159.99</v>
      </c>
      <c r="L40" s="56">
        <f>(E40/M40)*100-100</f>
        <v>-0.92738635226123733</v>
      </c>
      <c r="M40" s="54">
        <v>178.81012615042908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2025-04-30T04:36:29Z</cp:lastPrinted>
  <dcterms:created xsi:type="dcterms:W3CDTF">2007-04-16T07:34:00Z</dcterms:created>
  <dcterms:modified xsi:type="dcterms:W3CDTF">2025-05-05T11:21:07Z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