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5. Май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общий!$C$1:$N$40</definedName>
  </definedNames>
  <calcPr calcId="152511" calcOnSave="0"/>
</workbook>
</file>

<file path=xl/calcChain.xml><?xml version="1.0" encoding="utf-8"?>
<calcChain xmlns="http://schemas.openxmlformats.org/spreadsheetml/2006/main">
  <c r="J23" i="1" l="1"/>
  <c r="K36" i="1" l="1"/>
  <c r="K18" i="1"/>
  <c r="K15" i="1"/>
  <c r="K13" i="1"/>
  <c r="J39" i="1"/>
  <c r="J38" i="1"/>
  <c r="J37" i="1"/>
  <c r="J25" i="1"/>
  <c r="J20" i="1"/>
  <c r="J18" i="1"/>
  <c r="J17" i="1"/>
  <c r="J14" i="1"/>
  <c r="F38" i="1"/>
  <c r="F37" i="1"/>
  <c r="G40" i="1"/>
  <c r="G38" i="1"/>
  <c r="G37" i="1"/>
  <c r="G39" i="1"/>
  <c r="G20" i="1"/>
  <c r="G15" i="1"/>
  <c r="G13" i="1"/>
  <c r="K39" i="1" l="1"/>
  <c r="K38" i="1"/>
  <c r="K20" i="1"/>
  <c r="J40" i="1"/>
  <c r="J36" i="1"/>
  <c r="G14" i="1"/>
  <c r="J34" i="1" l="1"/>
  <c r="J31" i="1"/>
  <c r="J28" i="1"/>
  <c r="J24" i="1"/>
  <c r="G30" i="1"/>
  <c r="G24" i="1"/>
  <c r="J26" i="1" l="1"/>
  <c r="J15" i="1"/>
  <c r="J13" i="1"/>
  <c r="H11" i="1"/>
  <c r="K29" i="1" l="1"/>
  <c r="J11" i="1"/>
  <c r="H34" i="1"/>
  <c r="H18" i="1"/>
  <c r="H19" i="1"/>
  <c r="G26" i="1"/>
  <c r="K40" i="1" l="1"/>
  <c r="K28" i="1"/>
  <c r="K14" i="1"/>
  <c r="K16" i="1"/>
  <c r="G31" i="1"/>
  <c r="G32" i="1"/>
  <c r="G29" i="1"/>
  <c r="J8" i="1" l="1"/>
  <c r="K25" i="1" l="1"/>
  <c r="G25" i="1"/>
  <c r="G34" i="1" l="1"/>
  <c r="G28" i="1"/>
  <c r="G27" i="1"/>
  <c r="K17" i="1" l="1"/>
  <c r="J29" i="1"/>
  <c r="J16" i="1"/>
  <c r="K31" i="1" l="1"/>
  <c r="H16" i="1" l="1"/>
  <c r="F18" i="1" l="1"/>
  <c r="F19" i="1"/>
  <c r="G18" i="1"/>
  <c r="G19" i="1"/>
  <c r="K19" i="1"/>
  <c r="J19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J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молодым картофелем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</t>
        </r>
      </text>
    </comment>
    <comment ref="J3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молодой капустой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свежей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свежий урожай, молой</t>
        </r>
      </text>
    </commen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со свежим урожаем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среднее, свежий урожай</t>
        </r>
      </text>
    </comment>
    <comment ref="G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мытой морковью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среднее с чистой морковью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<sst xmlns="http://schemas.openxmlformats.org/spreadsheetml/2006/main" count="81" uniqueCount="53">
  <si>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</si>
  <si>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</si>
  <si>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</si>
  <si>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</si>
  <si>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</si>
  <si>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</si>
  <si>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</si>
  <si>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</si>
  <si>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</si>
  <si>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</si>
  <si>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</si>
  <si>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</si>
  <si>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</si>
  <si>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</si>
  <si>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</si>
  <si>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</si>
  <si>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</si>
  <si>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</si>
  <si>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</si>
  <si>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</si>
  <si>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</si>
  <si>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</si>
  <si>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</si>
  <si>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</si>
  <si>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</si>
  <si>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</si>
  <si>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</si>
  <si>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</si>
  <si>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</si>
  <si>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</si>
  <si>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</si>
  <si>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</si>
  <si>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</si>
  <si>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</si>
  <si>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</si>
  <si>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</si>
  <si>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</si>
  <si>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</si>
  <si>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</si>
  <si>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</si>
  <si>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</si>
  <si>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</si>
  <si>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</si>
  <si>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</si>
  <si>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</si>
  <si>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</si>
  <si>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</si>
  <si>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</si>
  <si>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</si>
  <si>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</si>
  <si>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2024 г</t>
  </si>
  <si>
    <t>Информация об изменении цен на социально-значимые товары, 
реализуемые на территории г. Пыть-Ях
по состоянию на 23.05.2024 г.</t>
  </si>
  <si>
    <t>Ср. цены на 17.05.2024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</si>
</sst>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3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/>
    <xf numFmtId="4" fontId="5" fillId="2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ill="1" applyBorder="1"/>
    <xf numFmtId="0" fontId="0" fillId="2" borderId="0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0" fillId="0" borderId="0" xfId="0" applyFont="1" applyFill="1" applyBorder="1"/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2" borderId="0" xfId="1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164" fontId="0" fillId="2" borderId="0" xfId="0" applyNumberFormat="1" applyFont="1" applyFill="1" applyBorder="1"/>
    <xf numFmtId="164" fontId="0" fillId="0" borderId="0" xfId="0" applyNumberFormat="1" applyFont="1" applyFill="1" applyBorder="1" applyAlignment="1">
      <alignment horizontal="left"/>
    </xf>
    <xf numFmtId="164" fontId="0" fillId="2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H27" sqref="H2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8.28515625" style="34" customWidth="1"/>
    <col min="7" max="7" width="16.85546875" style="1" customWidth="1"/>
    <col min="8" max="8" width="16.85546875" style="35" customWidth="1"/>
    <col min="9" max="9" width="16" style="35" customWidth="1"/>
    <col min="10" max="10" width="17.42578125" style="43" customWidth="1"/>
    <col min="11" max="11" width="15.5703125" style="35" customWidth="1"/>
    <col min="12" max="12" width="11.5703125" style="1" customWidth="1"/>
    <col min="13" max="13" width="9.28515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0" t="s">
        <v>51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5" ht="12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1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77" t="s">
        <v>38</v>
      </c>
      <c r="G4" s="77" t="s">
        <v>39</v>
      </c>
      <c r="H4" s="83" t="s">
        <v>40</v>
      </c>
      <c r="I4" s="83" t="s">
        <v>41</v>
      </c>
      <c r="J4" s="83" t="s">
        <v>42</v>
      </c>
      <c r="K4" s="83" t="s">
        <v>43</v>
      </c>
      <c r="L4" s="77" t="s">
        <v>44</v>
      </c>
      <c r="M4" s="81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78"/>
      <c r="G5" s="78"/>
      <c r="H5" s="84"/>
      <c r="I5" s="84"/>
      <c r="J5" s="84"/>
      <c r="K5" s="84"/>
      <c r="L5" s="78"/>
      <c r="M5" s="82"/>
    </row>
    <row r="6" spans="1:15" ht="18.75" x14ac:dyDescent="0.2">
      <c r="A6" s="2"/>
      <c r="B6" s="27"/>
      <c r="C6" s="20" t="s">
        <v>49</v>
      </c>
      <c r="D6" s="11"/>
      <c r="E6" s="12"/>
      <c r="F6" s="78"/>
      <c r="G6" s="78"/>
      <c r="H6" s="84"/>
      <c r="I6" s="84"/>
      <c r="J6" s="84"/>
      <c r="K6" s="84"/>
      <c r="L6" s="78"/>
      <c r="M6" s="82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79"/>
      <c r="G7" s="79"/>
      <c r="H7" s="85"/>
      <c r="I7" s="85"/>
      <c r="J7" s="85"/>
      <c r="K7" s="85"/>
      <c r="L7" s="79"/>
      <c r="M7" s="82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0"/>
      <c r="G8" s="40"/>
      <c r="H8" s="56"/>
      <c r="I8" s="53">
        <v>295</v>
      </c>
      <c r="J8" s="60">
        <f>(219.99+399.99)/2</f>
        <v>309.99</v>
      </c>
      <c r="K8" s="54"/>
      <c r="L8" s="39">
        <f>(E8/M8)*100-100</f>
        <v>0</v>
      </c>
      <c r="M8" s="49">
        <v>302.40213292898579</v>
      </c>
      <c r="N8" s="47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57"/>
      <c r="G9" s="57"/>
      <c r="H9" s="58"/>
      <c r="I9" s="59">
        <v>495</v>
      </c>
      <c r="J9" s="60"/>
      <c r="K9" s="60"/>
      <c r="L9" s="61">
        <f t="shared" ref="L9:L38" si="1">(E9/M9)*100-100</f>
        <v>0</v>
      </c>
      <c r="M9" s="49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57"/>
      <c r="G10" s="57"/>
      <c r="H10" s="58"/>
      <c r="I10" s="59">
        <v>550</v>
      </c>
      <c r="J10" s="60"/>
      <c r="K10" s="60"/>
      <c r="L10" s="61">
        <f t="shared" si="1"/>
        <v>0</v>
      </c>
      <c r="M10" s="49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261.49404512248606</v>
      </c>
      <c r="F11" s="40">
        <v>320</v>
      </c>
      <c r="G11" s="40">
        <v>199.99</v>
      </c>
      <c r="H11" s="40">
        <f>(350+330+300)/3</f>
        <v>326.66666666666669</v>
      </c>
      <c r="I11" s="53">
        <v>350</v>
      </c>
      <c r="J11" s="54">
        <f>(179.99+199.99)/2</f>
        <v>189.99</v>
      </c>
      <c r="K11" s="54">
        <v>229.99</v>
      </c>
      <c r="L11" s="39">
        <f t="shared" si="1"/>
        <v>0</v>
      </c>
      <c r="M11" s="49">
        <v>261.49404512248606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0">
        <v>250</v>
      </c>
      <c r="G12" s="40">
        <v>169.99</v>
      </c>
      <c r="H12" s="40">
        <f>(220+250)/2</f>
        <v>235</v>
      </c>
      <c r="I12" s="53">
        <v>250</v>
      </c>
      <c r="J12" s="54">
        <v>169.99</v>
      </c>
      <c r="K12" s="54">
        <f>(169.99+199.99)/2</f>
        <v>184.99</v>
      </c>
      <c r="L12" s="39">
        <f t="shared" si="1"/>
        <v>0</v>
      </c>
      <c r="M12" s="49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828.2442690293517</v>
      </c>
      <c r="F13" s="40">
        <f>(270/0.5+250/0.18)/2</f>
        <v>964.44444444444446</v>
      </c>
      <c r="G13" s="65">
        <f>(106.29/0.18+119.99/0.18+142.99/0.18)/3</f>
        <v>683.83333333333337</v>
      </c>
      <c r="H13" s="40">
        <f>(420/0.5+190/0.18)/2</f>
        <v>947.77777777777783</v>
      </c>
      <c r="I13" s="53"/>
      <c r="J13" s="54">
        <f>(139.99/0.18+149.99/0.18+113.99/0.18+161.99/0.2)/4</f>
        <v>763.55694444444453</v>
      </c>
      <c r="K13" s="54">
        <f>(159.99/0.2+149.99/0.18)/2</f>
        <v>816.61388888888894</v>
      </c>
      <c r="L13" s="39">
        <f t="shared" si="1"/>
        <v>0.34475085483352075</v>
      </c>
      <c r="M13" s="49">
        <v>825.39869995547042</v>
      </c>
      <c r="N13" s="15"/>
      <c r="O13" s="40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124.74786411647329</v>
      </c>
      <c r="F14" s="40">
        <v>140</v>
      </c>
      <c r="G14" s="40">
        <f>(108.99+106.99+85.99+219.99/1.8)/4</f>
        <v>106.04666666666665</v>
      </c>
      <c r="H14" s="40">
        <f>(140+150/0.8)/2</f>
        <v>163.75</v>
      </c>
      <c r="I14" s="53"/>
      <c r="J14" s="54">
        <f>(99.99+83.99/0.9+109.99+112.99+129.99)/5</f>
        <v>109.25644444444444</v>
      </c>
      <c r="K14" s="40">
        <f>(89.99/0.9+104.99+119.99+129.99)/4</f>
        <v>113.73972222222223</v>
      </c>
      <c r="L14" s="39">
        <f t="shared" si="1"/>
        <v>-0.52255801868412277</v>
      </c>
      <c r="M14" s="49">
        <v>125.40316842878185</v>
      </c>
      <c r="N14" s="46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78.883421827846135</v>
      </c>
      <c r="F15" s="40">
        <f>70/0.9</f>
        <v>77.777777777777771</v>
      </c>
      <c r="G15" s="40">
        <f>(63.99/0.9+64.99/0.9+114.99/1.4+189.99/2)/4</f>
        <v>80.110456349206345</v>
      </c>
      <c r="H15" s="40">
        <f>75/0.9</f>
        <v>83.333333333333329</v>
      </c>
      <c r="I15" s="53"/>
      <c r="J15" s="54">
        <f>(68.99/0.95+69.99/0.9+155.99/2+124.99/1.4)/4</f>
        <v>79.415322681704254</v>
      </c>
      <c r="K15" s="54">
        <f>(52.99/0.8+56.99/0.9+72.99/0.9+174.99/2+64.99/0.9)/5</f>
        <v>74.073166666666651</v>
      </c>
      <c r="L15" s="39">
        <f t="shared" si="1"/>
        <v>0.7269973950658084</v>
      </c>
      <c r="M15" s="49">
        <v>78.314080502622332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0">
        <v>85</v>
      </c>
      <c r="G16" s="40">
        <f>(49.99/0.97+82.99/0.9+99.99/0.93)/3</f>
        <v>83.754440872531987</v>
      </c>
      <c r="H16" s="40">
        <f>(75/0.9+115/0.95+100)/3</f>
        <v>101.46198830409357</v>
      </c>
      <c r="I16" s="53"/>
      <c r="J16" s="54">
        <f>(52.99/0.95+77.99/0.95+82.99)/3</f>
        <v>73.621228070175448</v>
      </c>
      <c r="K16" s="54">
        <f>(54.99/0.9+64.99+84.99/0.977+82.99/0.95)/4</f>
        <v>75.109670715940311</v>
      </c>
      <c r="L16" s="39">
        <f t="shared" si="1"/>
        <v>0</v>
      </c>
      <c r="M16" s="49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91.431200769512458</v>
      </c>
      <c r="F17" s="62">
        <f>85/0.9</f>
        <v>94.444444444444443</v>
      </c>
      <c r="G17" s="62">
        <f>(72.99/0.9+79.99/0.9)/2</f>
        <v>84.98888888888888</v>
      </c>
      <c r="H17" s="62">
        <f>85/0.9</f>
        <v>94.444444444444443</v>
      </c>
      <c r="I17" s="63"/>
      <c r="J17" s="62">
        <f>(79.99/0.9+82.99+38.99/0.4+42.99/0.4)/4</f>
        <v>94.204444444444448</v>
      </c>
      <c r="K17" s="62">
        <f>(74.99/0.95+54.99/0.5+42.99/0.5+82.99)/4</f>
        <v>89.471710526315789</v>
      </c>
      <c r="L17" s="39">
        <f t="shared" si="1"/>
        <v>0.29750388990341037</v>
      </c>
      <c r="M17" s="49">
        <v>91.159996234678474</v>
      </c>
      <c r="N17" s="46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250.06768651269212</v>
      </c>
      <c r="F18" s="62">
        <f>(85/0.4+110/0.4+132/0.5)/3</f>
        <v>250.5</v>
      </c>
      <c r="G18" s="62">
        <f>(99.99/0.5+139.99/0.5+129.99/0.5+79.99/0.3+64.99/0.3)/5</f>
        <v>244.64133333333334</v>
      </c>
      <c r="H18" s="62">
        <f>(125/0.47+145/0.5)/2</f>
        <v>277.97872340425533</v>
      </c>
      <c r="I18" s="63"/>
      <c r="J18" s="62">
        <f>(114.99/0.5+119.99/0.5+139.99/0.5+71.99/0.3+81.99/0.3)/5</f>
        <v>252.64133333333334</v>
      </c>
      <c r="K18" s="62">
        <f>(99.99/0.5+109.99/0.5+122.99/0.47)/3</f>
        <v>227.2136170212766</v>
      </c>
      <c r="L18" s="39">
        <f t="shared" si="1"/>
        <v>0.85332832609088882</v>
      </c>
      <c r="M18" s="49">
        <v>247.95184319960543</v>
      </c>
      <c r="N18" s="44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62">
        <f>(185/0.5+152/0.4+175/0.5)/3</f>
        <v>366.66666666666669</v>
      </c>
      <c r="G19" s="62">
        <f>(99.99/0.3+112.99/0.38+134.99/0.35)/3</f>
        <v>338.77593984962408</v>
      </c>
      <c r="H19" s="62">
        <f>(170/0.4+185/0.5)/2</f>
        <v>397.5</v>
      </c>
      <c r="I19" s="63"/>
      <c r="J19" s="62">
        <f>(99.99/0.35+139.99/0.33+144.99/0.38+179.99/0.38)/4</f>
        <v>391.27709045340623</v>
      </c>
      <c r="K19" s="62">
        <f>(129.99/0.3+119.99/0.3+149.99/0.33+99.99/0.3)/4</f>
        <v>405.27045454545453</v>
      </c>
      <c r="L19" s="39">
        <f t="shared" si="1"/>
        <v>0</v>
      </c>
      <c r="M19" s="49">
        <v>379.0967814193254</v>
      </c>
      <c r="N19" s="45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8">
        <f t="shared" si="0"/>
        <v>128.44078274178372</v>
      </c>
      <c r="F20" s="40">
        <v>150</v>
      </c>
      <c r="G20" s="40">
        <f>(89.99+99.99+122.99+109.99+149.99)/5</f>
        <v>114.59</v>
      </c>
      <c r="H20" s="40">
        <v>140</v>
      </c>
      <c r="I20" s="53"/>
      <c r="J20" s="54">
        <f>(98.99+103.99+119.99+129.99+139.99)/5</f>
        <v>118.59</v>
      </c>
      <c r="K20" s="54">
        <f>(99.99+119.99+129.99+139.99)/4</f>
        <v>122.49000000000001</v>
      </c>
      <c r="L20" s="39">
        <f t="shared" si="1"/>
        <v>-3.4168858254303558</v>
      </c>
      <c r="M20" s="49">
        <v>132.98471874662559</v>
      </c>
      <c r="N20" s="46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81.190744141414612</v>
      </c>
      <c r="F21" s="40">
        <v>90</v>
      </c>
      <c r="G21" s="40">
        <v>78.989999999999995</v>
      </c>
      <c r="H21" s="40">
        <v>85</v>
      </c>
      <c r="I21" s="53"/>
      <c r="J21" s="54">
        <v>72.989999999999995</v>
      </c>
      <c r="K21" s="54">
        <v>79.989999999999995</v>
      </c>
      <c r="L21" s="39">
        <f t="shared" si="1"/>
        <v>0</v>
      </c>
      <c r="M21" s="49">
        <v>81.190744141414612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0">
        <f>140/0.1</f>
        <v>1400</v>
      </c>
      <c r="G22" s="40">
        <f>(24.89/0.1+139.99/0.25+169.99/0.1+119.99/0.1)/4</f>
        <v>927.16499999999996</v>
      </c>
      <c r="H22" s="40">
        <f>250/0.2</f>
        <v>1250</v>
      </c>
      <c r="I22" s="53"/>
      <c r="J22" s="54">
        <f>(24.59/0.1+149.99/0.25)/2</f>
        <v>422.93</v>
      </c>
      <c r="K22" s="54">
        <f>(89.99/0.1+169.99/0.25+269.99/0.2)/3</f>
        <v>976.60333333333335</v>
      </c>
      <c r="L22" s="39">
        <f t="shared" si="1"/>
        <v>0</v>
      </c>
      <c r="M22" s="49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23.09667922295894</v>
      </c>
      <c r="F23" s="40">
        <v>35</v>
      </c>
      <c r="G23" s="40">
        <v>19.989999999999998</v>
      </c>
      <c r="H23" s="40">
        <v>30</v>
      </c>
      <c r="I23" s="53"/>
      <c r="J23" s="54">
        <f>(13.99+18.99)/2</f>
        <v>16.489999999999998</v>
      </c>
      <c r="K23" s="54">
        <f>18.99</f>
        <v>18.989999999999998</v>
      </c>
      <c r="L23" s="39">
        <f t="shared" si="1"/>
        <v>-1.726166281274871</v>
      </c>
      <c r="M23" s="49">
        <v>23.502369195309097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50.581194689494517</v>
      </c>
      <c r="F24" s="40">
        <f>(110/2+140/2)/2</f>
        <v>62.5</v>
      </c>
      <c r="G24" s="40">
        <f>(79.99/2+94.99/2)/2</f>
        <v>43.744999999999997</v>
      </c>
      <c r="H24" s="40">
        <f>(110+130)/4</f>
        <v>60</v>
      </c>
      <c r="I24" s="53"/>
      <c r="J24" s="54">
        <f>(79.99/2+59.99/2+114.99/2)/3</f>
        <v>42.494999999999997</v>
      </c>
      <c r="K24" s="54">
        <f>(69.99/2+119.99/2)/2</f>
        <v>47.494999999999997</v>
      </c>
      <c r="L24" s="39">
        <f t="shared" si="1"/>
        <v>0</v>
      </c>
      <c r="M24" s="49">
        <v>50.581194689494517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80.703392902733796</v>
      </c>
      <c r="F25" s="40">
        <f>40/0.5</f>
        <v>80</v>
      </c>
      <c r="G25" s="40">
        <f>43.99/0.5</f>
        <v>87.98</v>
      </c>
      <c r="H25" s="40">
        <f>40/0.5</f>
        <v>80</v>
      </c>
      <c r="I25" s="53"/>
      <c r="J25" s="54">
        <f>(36.99/0.5+39.99/0.5)/2</f>
        <v>76.98</v>
      </c>
      <c r="K25" s="40">
        <f>(33.99/0.5+44.99/0.5)/2</f>
        <v>78.98</v>
      </c>
      <c r="L25" s="39">
        <f t="shared" si="1"/>
        <v>0.52787309725914611</v>
      </c>
      <c r="M25" s="49">
        <v>80.27961839464615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79.355042444752186</v>
      </c>
      <c r="F26" s="40">
        <f>40/0.5</f>
        <v>80</v>
      </c>
      <c r="G26" s="40">
        <f>(39.99/0.5+41.99/0.5)/2</f>
        <v>81.98</v>
      </c>
      <c r="H26" s="40">
        <f>40/0.5</f>
        <v>80</v>
      </c>
      <c r="I26" s="53"/>
      <c r="J26" s="54">
        <f>(36.99/0.5+38/0.5)/2</f>
        <v>74.990000000000009</v>
      </c>
      <c r="K26" s="54">
        <f>39.99/0.5</f>
        <v>79.98</v>
      </c>
      <c r="L26" s="39">
        <f t="shared" si="1"/>
        <v>0</v>
      </c>
      <c r="M26" s="49">
        <v>79.355042444752186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62">
        <f>60/0.8</f>
        <v>75</v>
      </c>
      <c r="G27" s="62">
        <f>(37.99/0.8+102.99/0.8)/2</f>
        <v>88.112499999999983</v>
      </c>
      <c r="H27" s="62">
        <f>100/0.9</f>
        <v>111.11111111111111</v>
      </c>
      <c r="I27" s="64"/>
      <c r="J27" s="62">
        <f>(32.99/0.8+99.99/0.9)/2</f>
        <v>76.168749999999989</v>
      </c>
      <c r="K27" s="62">
        <f>(49.99/0.8+99.99/0.4)/2</f>
        <v>156.23124999999999</v>
      </c>
      <c r="L27" s="39">
        <f t="shared" si="1"/>
        <v>0</v>
      </c>
      <c r="M27" s="49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123.64643587983402</v>
      </c>
      <c r="F28" s="40">
        <f>(200/1.5+140/0.9)/2</f>
        <v>144.44444444444446</v>
      </c>
      <c r="G28" s="40">
        <f>(77.69/0.8+89.99/0.8+109.99/0.9)/3</f>
        <v>110.60370370370369</v>
      </c>
      <c r="H28" s="40">
        <f>(150/0.9+220/1.5)/2</f>
        <v>156.66666666666666</v>
      </c>
      <c r="I28" s="53"/>
      <c r="J28" s="54">
        <f>(76.49/0.8+84.99/0.9)/2</f>
        <v>95.022916666666646</v>
      </c>
      <c r="K28" s="54">
        <f>(84.99/0.8+99.99/0.8+119.99/0.9)/3</f>
        <v>121.51574074074074</v>
      </c>
      <c r="L28" s="39">
        <f t="shared" si="1"/>
        <v>0</v>
      </c>
      <c r="M28" s="49">
        <v>123.64643587983402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65">
        <f>90/0.9</f>
        <v>100</v>
      </c>
      <c r="G29" s="65">
        <f>38.39/0.8</f>
        <v>47.987499999999997</v>
      </c>
      <c r="H29" s="65">
        <f>100/0.8</f>
        <v>125</v>
      </c>
      <c r="I29" s="53"/>
      <c r="J29" s="54">
        <f>59.99/0.8</f>
        <v>74.987499999999997</v>
      </c>
      <c r="K29" s="54">
        <f>54.98/0.9</f>
        <v>61.088888888888881</v>
      </c>
      <c r="L29" s="39">
        <f t="shared" si="1"/>
        <v>0</v>
      </c>
      <c r="M29" s="50">
        <v>77.232100716783975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76.506316506814343</v>
      </c>
      <c r="F30" s="62">
        <f>80/0.8</f>
        <v>100</v>
      </c>
      <c r="G30" s="62">
        <f>59.99/0.8</f>
        <v>74.987499999999997</v>
      </c>
      <c r="H30" s="62">
        <f>100/0.9</f>
        <v>111.11111111111111</v>
      </c>
      <c r="I30" s="64"/>
      <c r="J30" s="62">
        <f>39.99/0.8</f>
        <v>49.987499999999997</v>
      </c>
      <c r="K30" s="62">
        <f>(54.99/0.8+39.99/0.7)/2</f>
        <v>62.933035714285715</v>
      </c>
      <c r="L30" s="39">
        <f t="shared" si="1"/>
        <v>0</v>
      </c>
      <c r="M30" s="50">
        <v>76.506316506814343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104.89064913871293</v>
      </c>
      <c r="F31" s="65">
        <f>120/0.9</f>
        <v>133.33333333333334</v>
      </c>
      <c r="G31" s="65">
        <f>(69.99/0.8+74.99/0.8+70.89/0.85+104.99/0.9)/4</f>
        <v>95.320138888888891</v>
      </c>
      <c r="H31" s="65">
        <f>120/0.9</f>
        <v>133.33333333333334</v>
      </c>
      <c r="I31" s="53"/>
      <c r="J31" s="54">
        <f>(84.99/0.8+36.99/0.8+94/0.9)/3</f>
        <v>85.639814814814812</v>
      </c>
      <c r="K31" s="65">
        <f>(39.99/0.8+79.99/0.8+89.99/0.8)/3</f>
        <v>87.487499999999997</v>
      </c>
      <c r="L31" s="39">
        <f t="shared" si="1"/>
        <v>0</v>
      </c>
      <c r="M31" s="50">
        <v>104.89064913871293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66"/>
      <c r="G32" s="62">
        <f>(18.29/0.4+69.99/0.8+39.99/0.8)/3</f>
        <v>61.066666666666663</v>
      </c>
      <c r="H32" s="62">
        <f>80/0.8</f>
        <v>100</v>
      </c>
      <c r="I32" s="63"/>
      <c r="J32" s="62">
        <f>(14.99/0.4+59.99/0.9)/2</f>
        <v>52.06527777777778</v>
      </c>
      <c r="K32" s="62">
        <f>(29.99/0.4+34.99/0.4+39.99/0.8)/3</f>
        <v>70.8125</v>
      </c>
      <c r="L32" s="39">
        <f t="shared" si="1"/>
        <v>0</v>
      </c>
      <c r="M32" s="51">
        <v>68.883559828454409</v>
      </c>
      <c r="N32" s="16"/>
    </row>
    <row r="33" spans="2:14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62">
        <f>85/0.6</f>
        <v>141.66666666666669</v>
      </c>
      <c r="G33" s="62">
        <f>29.99/0.8</f>
        <v>37.487499999999997</v>
      </c>
      <c r="H33" s="62">
        <f>80/0.65</f>
        <v>123.07692307692307</v>
      </c>
      <c r="I33" s="63"/>
      <c r="J33" s="62">
        <f>22.99/0.6</f>
        <v>38.316666666666663</v>
      </c>
      <c r="K33" s="62">
        <f>34.99/0.8</f>
        <v>43.737499999999997</v>
      </c>
      <c r="L33" s="39">
        <f>(E33/M33)*100-100</f>
        <v>0</v>
      </c>
      <c r="M33" s="51">
        <v>64.256119158835062</v>
      </c>
      <c r="N33" s="16"/>
    </row>
    <row r="34" spans="2:14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90.315536270884451</v>
      </c>
      <c r="F34" s="65">
        <f>90</f>
        <v>90</v>
      </c>
      <c r="G34" s="65">
        <f>(34.99/0.4+23.99/0.4)/2</f>
        <v>73.724999999999994</v>
      </c>
      <c r="H34" s="65">
        <f>80/0.47</f>
        <v>170.21276595744681</v>
      </c>
      <c r="I34" s="53"/>
      <c r="J34" s="54">
        <f>(19.99/0.4+49.99/0.45+39.99/0.45)/3</f>
        <v>83.310185185185176</v>
      </c>
      <c r="K34" s="54">
        <f>(19.99/0.4+34.99/0.45)/2</f>
        <v>63.865277777777777</v>
      </c>
      <c r="L34" s="39">
        <f t="shared" si="1"/>
        <v>0</v>
      </c>
      <c r="M34" s="51">
        <v>90.315536270884451</v>
      </c>
    </row>
    <row r="35" spans="2:14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67">
        <f>80/0.4</f>
        <v>200</v>
      </c>
      <c r="G35" s="67">
        <f>18.99/0.4</f>
        <v>47.474999999999994</v>
      </c>
      <c r="H35" s="67">
        <f>70/0.8</f>
        <v>87.5</v>
      </c>
      <c r="I35" s="64"/>
      <c r="J35" s="67">
        <f>(18.99/0.4+31.49/0.4)/2</f>
        <v>63.099999999999994</v>
      </c>
      <c r="K35" s="67">
        <f>(34.99/0.4+39.99/0.45+19.99/0.45+69.99/0.45)/4</f>
        <v>94.074305555555554</v>
      </c>
      <c r="L35" s="69">
        <f t="shared" si="1"/>
        <v>0</v>
      </c>
      <c r="M35" s="51">
        <v>86.816181591648572</v>
      </c>
    </row>
    <row r="36" spans="2:14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32.423790496384626</v>
      </c>
      <c r="F36" s="68">
        <v>35</v>
      </c>
      <c r="G36" s="68">
        <v>33.99</v>
      </c>
      <c r="H36" s="68">
        <v>35</v>
      </c>
      <c r="I36" s="53"/>
      <c r="J36" s="54">
        <f>(22.99+29.99)/2</f>
        <v>26.49</v>
      </c>
      <c r="K36" s="54">
        <f>(39.99+24.99)/2</f>
        <v>32.49</v>
      </c>
      <c r="L36" s="69">
        <f t="shared" si="1"/>
        <v>4.1908518752422594</v>
      </c>
      <c r="M36" s="51">
        <v>31.119613586813507</v>
      </c>
    </row>
    <row r="37" spans="2:14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48.642673385867795</v>
      </c>
      <c r="F37" s="68">
        <f>(50+80)/2</f>
        <v>65</v>
      </c>
      <c r="G37" s="68">
        <f>(35.99+49.99)/2</f>
        <v>42.99</v>
      </c>
      <c r="H37" s="68">
        <v>50</v>
      </c>
      <c r="I37" s="53"/>
      <c r="J37" s="54">
        <f>(36.99+40.99)/2</f>
        <v>38.99</v>
      </c>
      <c r="K37" s="54">
        <v>49.99</v>
      </c>
      <c r="L37" s="69">
        <f t="shared" si="1"/>
        <v>5.6151462709608495</v>
      </c>
      <c r="M37" s="51">
        <v>46.056531760200969</v>
      </c>
    </row>
    <row r="38" spans="2:14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45.373952944093851</v>
      </c>
      <c r="F38" s="68">
        <f>(40+60)/2</f>
        <v>50</v>
      </c>
      <c r="G38" s="68">
        <f>(39.99+74.99)/2</f>
        <v>57.489999999999995</v>
      </c>
      <c r="H38" s="68">
        <v>35</v>
      </c>
      <c r="I38" s="53"/>
      <c r="J38" s="54">
        <f>(39.99+49.99)/2</f>
        <v>44.99</v>
      </c>
      <c r="K38" s="54">
        <f>(39.99+44.99)/2</f>
        <v>42.49</v>
      </c>
      <c r="L38" s="69">
        <f t="shared" si="1"/>
        <v>15.117964354029723</v>
      </c>
      <c r="M38" s="51">
        <v>39.415180070898749</v>
      </c>
    </row>
    <row r="39" spans="2:14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64.416623097924102</v>
      </c>
      <c r="F39" s="68">
        <v>60</v>
      </c>
      <c r="G39" s="68">
        <f>(49.5+79.99)/2</f>
        <v>64.745000000000005</v>
      </c>
      <c r="H39" s="68">
        <v>60</v>
      </c>
      <c r="I39" s="53"/>
      <c r="J39" s="54">
        <f>(60.99+74.99)/2</f>
        <v>67.989999999999995</v>
      </c>
      <c r="K39" s="54">
        <f>(49.99+89.99)/2</f>
        <v>69.989999999999995</v>
      </c>
      <c r="L39" s="69">
        <f>(E39/M39)*100-100</f>
        <v>9.9283678771080019</v>
      </c>
      <c r="M39" s="51">
        <v>58.598726008501501</v>
      </c>
      <c r="N39" s="55"/>
    </row>
    <row r="40" spans="2:14" s="5" customFormat="1" ht="35.25" customHeight="1" thickBot="1" x14ac:dyDescent="0.25">
      <c r="B40" s="29"/>
      <c r="C40" s="70" t="s">
        <v>27</v>
      </c>
      <c r="D40" s="71" t="s">
        <v>4</v>
      </c>
      <c r="E40" s="72">
        <f t="shared" si="0"/>
        <v>142.72649102842803</v>
      </c>
      <c r="F40" s="73">
        <v>180</v>
      </c>
      <c r="G40" s="73">
        <f>(108.69+119.99)/2</f>
        <v>114.34</v>
      </c>
      <c r="H40" s="73">
        <v>180</v>
      </c>
      <c r="I40" s="74"/>
      <c r="J40" s="75">
        <f>(108.99+139.99+119.99)/3</f>
        <v>122.99000000000001</v>
      </c>
      <c r="K40" s="75">
        <f>(119.99+139.99)/2</f>
        <v>129.99</v>
      </c>
      <c r="L40" s="102">
        <f>(E40/M40)*100-100</f>
        <v>0.14934618095330165</v>
      </c>
      <c r="M40" s="76">
        <v>142.51365233133413</v>
      </c>
    </row>
    <row r="41" spans="2:14" ht="30.75" customHeight="1" x14ac:dyDescent="0.2">
      <c r="C41" s="86"/>
      <c r="D41" s="87"/>
      <c r="E41" s="88"/>
      <c r="F41" s="89"/>
      <c r="G41" s="90"/>
      <c r="H41" s="91"/>
      <c r="I41" s="91"/>
      <c r="J41" s="91"/>
      <c r="K41" s="91"/>
      <c r="L41" s="89"/>
      <c r="M41" s="89"/>
    </row>
    <row r="42" spans="2:14" ht="30.75" customHeight="1" x14ac:dyDescent="0.25">
      <c r="C42" s="86"/>
      <c r="D42" s="87"/>
      <c r="E42" s="88"/>
      <c r="F42" s="92"/>
      <c r="G42" s="88"/>
      <c r="H42" s="93"/>
      <c r="I42" s="94"/>
      <c r="J42" s="95"/>
      <c r="K42" s="96"/>
      <c r="L42" s="89"/>
      <c r="M42" s="89"/>
    </row>
    <row r="43" spans="2:14" ht="29.25" customHeight="1" x14ac:dyDescent="0.2">
      <c r="C43" s="86"/>
      <c r="D43" s="87"/>
      <c r="E43" s="88"/>
      <c r="F43" s="92"/>
      <c r="G43" s="97"/>
      <c r="H43" s="98"/>
      <c r="I43" s="98"/>
      <c r="J43" s="99"/>
      <c r="K43" s="100"/>
      <c r="L43" s="89"/>
      <c r="M43" s="89"/>
    </row>
    <row r="44" spans="2:14" ht="27.75" customHeight="1" x14ac:dyDescent="0.2">
      <c r="C44" s="86"/>
      <c r="D44" s="87"/>
      <c r="E44" s="88"/>
      <c r="F44" s="92"/>
      <c r="G44" s="89"/>
      <c r="H44" s="100"/>
      <c r="I44" s="100"/>
      <c r="J44" s="101"/>
      <c r="K44" s="100"/>
      <c r="L44" s="89"/>
      <c r="M44" s="89"/>
    </row>
    <row r="45" spans="2:14" ht="31.5" customHeight="1" x14ac:dyDescent="0.2">
      <c r="C45" s="86"/>
      <c r="D45" s="87"/>
      <c r="E45" s="88"/>
      <c r="F45" s="92"/>
      <c r="G45" s="89"/>
      <c r="H45" s="100"/>
      <c r="I45" s="100"/>
      <c r="J45" s="101"/>
      <c r="K45" s="100"/>
      <c r="L45" s="89"/>
      <c r="M45" s="89"/>
    </row>
    <row r="46" spans="2:14" ht="30" customHeight="1" x14ac:dyDescent="0.2">
      <c r="C46" s="86"/>
      <c r="D46" s="87"/>
      <c r="E46" s="88"/>
      <c r="F46" s="92"/>
      <c r="G46" s="89"/>
      <c r="H46" s="100"/>
      <c r="I46" s="100"/>
      <c r="J46" s="101"/>
      <c r="K46" s="100"/>
      <c r="L46" s="89"/>
      <c r="M46" s="89"/>
    </row>
    <row r="47" spans="2:14" ht="34.5" customHeight="1" x14ac:dyDescent="0.2">
      <c r="C47" s="86"/>
      <c r="D47" s="87"/>
      <c r="E47" s="88"/>
      <c r="F47" s="92"/>
      <c r="G47" s="89"/>
      <c r="H47" s="100"/>
      <c r="I47" s="100"/>
      <c r="J47" s="101"/>
      <c r="K47" s="100"/>
      <c r="L47" s="89"/>
      <c r="M47" s="89"/>
    </row>
    <row r="48" spans="2:14" ht="34.5" customHeight="1" x14ac:dyDescent="0.2">
      <c r="C48" s="86"/>
      <c r="D48" s="87"/>
      <c r="E48" s="88"/>
      <c r="F48" s="92"/>
      <c r="G48" s="89"/>
      <c r="H48" s="100"/>
      <c r="I48" s="100"/>
      <c r="J48" s="101"/>
      <c r="K48" s="100"/>
      <c r="L48" s="89"/>
      <c r="M48" s="89"/>
    </row>
    <row r="49" spans="3:13" ht="15" x14ac:dyDescent="0.2">
      <c r="C49" s="86"/>
      <c r="D49" s="87"/>
      <c r="E49" s="88"/>
      <c r="F49" s="92"/>
      <c r="G49" s="89"/>
      <c r="H49" s="100"/>
      <c r="I49" s="100"/>
      <c r="J49" s="101"/>
      <c r="K49" s="100"/>
      <c r="L49" s="89"/>
      <c r="M49" s="89"/>
    </row>
    <row r="50" spans="3:13" ht="15" x14ac:dyDescent="0.2">
      <c r="C50" s="86"/>
      <c r="D50" s="87"/>
      <c r="E50" s="88"/>
      <c r="F50" s="92"/>
      <c r="G50" s="89"/>
      <c r="H50" s="100"/>
      <c r="I50" s="100"/>
      <c r="J50" s="101"/>
      <c r="K50" s="100"/>
      <c r="L50" s="89"/>
      <c r="M50" s="89"/>
    </row>
    <row r="51" spans="3:13" ht="15" x14ac:dyDescent="0.2">
      <c r="C51" s="3"/>
      <c r="D51" s="4"/>
      <c r="F51" s="36"/>
      <c r="G51" s="38"/>
      <c r="H51" s="37"/>
      <c r="I51" s="37"/>
      <c r="J51" s="42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2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2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2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2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2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2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2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2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2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2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2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2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2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2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2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2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2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2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2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2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2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2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2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2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2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2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2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2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2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2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2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2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2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2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2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2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2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2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2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2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2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2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2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2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2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2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2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2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2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2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2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2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2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2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2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2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2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2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2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2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2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2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2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2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2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2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2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2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2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2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2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2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2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2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2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2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2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2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2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2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2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2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2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2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2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2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2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2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2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2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2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2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2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2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2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2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2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2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2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2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2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2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2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2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2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2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2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2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2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2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2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2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2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2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2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2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2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2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2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2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2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2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2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2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2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2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2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2024-05-24T04:42:55Z</cp:lastPrinted>
  <dcterms:created xsi:type="dcterms:W3CDTF">2007-04-16T07:34:00Z</dcterms:created>
  <dcterms:modified xsi:type="dcterms:W3CDTF">2024-05-24T07:45:09Z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