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10. Октябр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F15" i="1" l="1"/>
  <c r="F19" i="1" l="1"/>
  <c r="F17" i="1"/>
  <c r="G21" i="1" l="1"/>
  <c r="G40" i="1"/>
  <c r="K20" i="1"/>
  <c r="K21" i="1"/>
  <c r="J21" i="1"/>
  <c r="J20" i="1"/>
  <c r="J11" i="1"/>
  <c r="J40" i="1"/>
  <c r="G20" i="1" l="1"/>
  <c r="G30" i="1"/>
  <c r="G28" i="1"/>
  <c r="G33" i="1"/>
  <c r="J14" i="1"/>
  <c r="J23" i="1"/>
  <c r="E22" i="1" l="1"/>
  <c r="E21" i="1" l="1"/>
  <c r="K24" i="1" l="1"/>
  <c r="K19" i="1"/>
  <c r="K15" i="1"/>
  <c r="K14" i="1"/>
  <c r="K13" i="1"/>
  <c r="J24" i="1"/>
  <c r="J13" i="1"/>
  <c r="H15" i="1"/>
  <c r="G35" i="1"/>
  <c r="G34" i="1"/>
  <c r="H19" i="1" l="1"/>
  <c r="G24" i="1"/>
  <c r="J22" i="1" l="1"/>
  <c r="G13" i="1"/>
  <c r="J15" i="1" l="1"/>
  <c r="H18" i="1"/>
  <c r="G25" i="1"/>
  <c r="F38" i="1" l="1"/>
  <c r="K33" i="1"/>
  <c r="K31" i="1"/>
  <c r="K29" i="1"/>
  <c r="J28" i="1" l="1"/>
  <c r="J17" i="1"/>
  <c r="J19" i="1"/>
  <c r="G14" i="1"/>
  <c r="K16" i="1" l="1"/>
  <c r="J26" i="1"/>
  <c r="J25" i="1"/>
  <c r="K18" i="1" l="1"/>
  <c r="G32" i="1"/>
  <c r="G31" i="1"/>
  <c r="G29" i="1"/>
  <c r="K25" i="1" l="1"/>
  <c r="H13" i="1"/>
  <c r="J31" i="1" l="1"/>
  <c r="G15" i="1"/>
  <c r="I11" i="1" l="1"/>
  <c r="J27" i="1" l="1"/>
  <c r="J29" i="1"/>
  <c r="K12" i="1"/>
  <c r="K34" i="1"/>
  <c r="K27" i="1"/>
  <c r="K28" i="1"/>
  <c r="G18" i="1" l="1"/>
  <c r="G19" i="1"/>
  <c r="J34" i="1" l="1"/>
  <c r="E8" i="1"/>
  <c r="J18" i="1" l="1"/>
  <c r="H11" i="1" l="1"/>
  <c r="H34" i="1" l="1"/>
  <c r="G26" i="1"/>
  <c r="G27" i="1" l="1"/>
  <c r="K17" i="1" l="1"/>
  <c r="J16" i="1"/>
  <c r="H16" i="1" l="1"/>
  <c r="F18" i="1" l="1"/>
  <c r="F24" i="1" l="1"/>
  <c r="H32" i="1" l="1"/>
  <c r="H31" i="1"/>
  <c r="H28" i="1"/>
  <c r="K30" i="1" l="1"/>
  <c r="J35" i="1"/>
  <c r="J33" i="1"/>
  <c r="J30" i="1"/>
  <c r="H24" i="1"/>
  <c r="H17" i="1"/>
  <c r="G22" i="1" l="1"/>
  <c r="J32" i="1" l="1"/>
  <c r="H30" i="1" l="1"/>
  <c r="G17" i="1"/>
  <c r="H26" i="1" l="1"/>
  <c r="E38" i="1" l="1"/>
  <c r="E11" i="1" l="1"/>
  <c r="E9" i="1"/>
  <c r="E40" i="1" l="1"/>
  <c r="L40" i="1" s="1"/>
  <c r="H25" i="1"/>
  <c r="E10" i="1"/>
  <c r="E36" i="1"/>
  <c r="E37" i="1"/>
  <c r="E39" i="1"/>
  <c r="L39" i="1" s="1"/>
  <c r="E20" i="1" l="1"/>
  <c r="K23" i="1" l="1"/>
  <c r="E23" i="1" s="1"/>
  <c r="K22" i="1" l="1"/>
  <c r="H29" i="1"/>
  <c r="H33" i="1" l="1"/>
  <c r="G16" i="1"/>
  <c r="K32" i="1"/>
  <c r="K35" i="1"/>
  <c r="E32" i="1" l="1"/>
  <c r="L8" i="1"/>
  <c r="H35" i="1" l="1"/>
  <c r="H27" i="1"/>
  <c r="H12" i="1"/>
  <c r="E12" i="1" s="1"/>
  <c r="F35" i="1" l="1"/>
  <c r="E35" i="1" s="1"/>
  <c r="F33" i="1"/>
  <c r="F30" i="1"/>
  <c r="E30" i="1" s="1"/>
  <c r="F27" i="1"/>
  <c r="E27" i="1" s="1"/>
  <c r="L9" i="1"/>
  <c r="L10" i="1"/>
  <c r="L23" i="1"/>
  <c r="L36" i="1"/>
  <c r="L37" i="1"/>
  <c r="E19" i="1"/>
  <c r="L19" i="1" s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F25" i="1"/>
  <c r="H22" i="1"/>
  <c r="F22" i="1"/>
  <c r="L21" i="1"/>
  <c r="L20" i="1"/>
  <c r="E16" i="1"/>
  <c r="E15" i="1"/>
  <c r="H14" i="1"/>
  <c r="E14" i="1" s="1"/>
  <c r="F13" i="1"/>
  <c r="L12" i="1"/>
  <c r="L22" i="1" l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comments1.xml><?xml version="1.0" encoding="utf-8"?>
<comments xmlns="http://schemas.openxmlformats.org/spreadsheetml/2006/main">
  <authors>
    <author>Анастасия Келлер</author>
  </authors>
  <commentList>
    <comment ref="I10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в магазине на ценнике 850</t>
        </r>
      </text>
    </comment>
  </commentList>
</comments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<sst xmlns="http://schemas.openxmlformats.org/spreadsheetml/2006/main" count="81" uniqueCount="53">
  <si>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</si>
  <si>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</si>
  <si>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</si>
  <si>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</si>
  <si>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</si>
  <si>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</si>
  <si>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</si>
  <si>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</si>
  <si>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</si>
  <si>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</si>
  <si>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</si>
  <si>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</si>
  <si>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</si>
  <si>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</si>
  <si>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</si>
  <si>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</si>
  <si>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</si>
  <si>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</si>
  <si>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</si>
  <si>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</si>
  <si>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</si>
  <si>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</si>
  <si>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</si>
  <si>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</si>
  <si>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</si>
  <si>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</si>
  <si>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</si>
  <si>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</si>
  <si>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</si>
  <si>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</si>
  <si>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</si>
  <si>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</si>
  <si>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</si>
  <si>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</si>
  <si>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</si>
  <si>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</si>
  <si>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</si>
  <si>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</si>
  <si>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</si>
  <si>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</si>
  <si>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</si>
  <si>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</si>
  <si>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</si>
  <si>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</si>
  <si>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</si>
  <si>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</si>
  <si>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</si>
  <si>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</si>
  <si>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</si>
  <si>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</si>
  <si>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октябрь 2024 г</t>
  </si>
  <si>
    <t>Ср. цены на 04.10.2024 год</t>
  </si>
  <si>
    <t>Информация об изменении цен на социально-значимые товары, 
реализуемые на территории г. Пыть-Ях
по состоянию на 10.10.2024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</si>
</sst>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24" xfId="0" applyNumberFormat="1" applyFont="1" applyFill="1" applyBorder="1" applyAlignment="1">
      <alignment horizontal="center" vertical="center"/>
    </xf>
    <xf numFmtId="0" fontId="5" fillId="3" borderId="0" xfId="0" applyFont="1" applyFill="1" applyBorder="1"/>
    <xf numFmtId="4" fontId="13" fillId="2" borderId="21" xfId="0" applyNumberFormat="1" applyFont="1" applyFill="1" applyBorder="1" applyAlignment="1">
      <alignment horizontal="center" vertical="center"/>
    </xf>
    <xf numFmtId="4" fontId="13" fillId="2" borderId="21" xfId="0" applyNumberFormat="1" applyFont="1" applyFill="1" applyBorder="1" applyAlignment="1">
      <alignment horizontal="left" vertical="center"/>
    </xf>
    <xf numFmtId="164" fontId="13" fillId="2" borderId="21" xfId="0" applyNumberFormat="1" applyFont="1" applyFill="1" applyBorder="1" applyAlignment="1" applyProtection="1">
      <alignment horizontal="center" vertical="center"/>
      <protection locked="0"/>
    </xf>
    <xf numFmtId="2" fontId="13" fillId="2" borderId="21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2" fontId="13" fillId="2" borderId="21" xfId="0" applyNumberFormat="1" applyFont="1" applyFill="1" applyBorder="1" applyAlignment="1">
      <alignment horizontal="center" vertical="center"/>
    </xf>
    <xf numFmtId="4" fontId="13" fillId="2" borderId="21" xfId="1" applyNumberFormat="1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2" fontId="13" fillId="2" borderId="18" xfId="0" applyNumberFormat="1" applyFont="1" applyFill="1" applyBorder="1" applyAlignment="1" applyProtection="1">
      <alignment horizontal="center" vertical="center"/>
    </xf>
    <xf numFmtId="2" fontId="13" fillId="2" borderId="23" xfId="0" applyNumberFormat="1" applyFont="1" applyFill="1" applyBorder="1" applyAlignment="1">
      <alignment horizontal="center" vertical="center"/>
    </xf>
    <xf numFmtId="164" fontId="13" fillId="2" borderId="23" xfId="0" applyNumberFormat="1" applyFont="1" applyFill="1" applyBorder="1" applyAlignment="1" applyProtection="1">
      <alignment horizontal="center" vertical="center"/>
      <protection locked="0"/>
    </xf>
    <xf numFmtId="2" fontId="13" fillId="2" borderId="23" xfId="0" applyNumberFormat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L12" sqref="L12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6" style="1" customWidth="1"/>
    <col min="7" max="7" width="16.28515625" style="49" customWidth="1"/>
    <col min="8" max="8" width="17" style="47" customWidth="1"/>
    <col min="9" max="9" width="13.42578125" style="47" customWidth="1"/>
    <col min="10" max="10" width="17.140625" style="47" customWidth="1"/>
    <col min="11" max="11" width="15.85546875" style="47" customWidth="1"/>
    <col min="12" max="12" width="11.570312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67" t="s">
        <v>52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5" ht="12.75" customHeight="1" x14ac:dyDescent="0.2"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5" ht="19.5" thickBot="1" x14ac:dyDescent="0.25">
      <c r="B3" s="21"/>
      <c r="C3" s="22"/>
      <c r="D3" s="22"/>
      <c r="E3" s="22"/>
      <c r="F3" s="23"/>
      <c r="G3" s="24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64" t="s">
        <v>38</v>
      </c>
      <c r="G4" s="64" t="s">
        <v>39</v>
      </c>
      <c r="H4" s="64" t="s">
        <v>40</v>
      </c>
      <c r="I4" s="64" t="s">
        <v>41</v>
      </c>
      <c r="J4" s="70" t="s">
        <v>42</v>
      </c>
      <c r="K4" s="70" t="s">
        <v>43</v>
      </c>
      <c r="L4" s="64" t="s">
        <v>44</v>
      </c>
      <c r="M4" s="68" t="s">
        <v>51</v>
      </c>
    </row>
    <row r="5" spans="1:15" ht="18.75" x14ac:dyDescent="0.2">
      <c r="A5" s="26"/>
      <c r="B5" s="30"/>
      <c r="C5" s="31"/>
      <c r="D5" s="32" t="s">
        <v>0</v>
      </c>
      <c r="E5" s="33"/>
      <c r="F5" s="65"/>
      <c r="G5" s="65"/>
      <c r="H5" s="65"/>
      <c r="I5" s="65"/>
      <c r="J5" s="71"/>
      <c r="K5" s="71"/>
      <c r="L5" s="65"/>
      <c r="M5" s="69"/>
    </row>
    <row r="6" spans="1:15" ht="18.75" x14ac:dyDescent="0.2">
      <c r="A6" s="26"/>
      <c r="B6" s="30"/>
      <c r="C6" s="34" t="s">
        <v>49</v>
      </c>
      <c r="D6" s="35"/>
      <c r="E6" s="36"/>
      <c r="F6" s="65"/>
      <c r="G6" s="65"/>
      <c r="H6" s="65"/>
      <c r="I6" s="65"/>
      <c r="J6" s="71"/>
      <c r="K6" s="71"/>
      <c r="L6" s="65"/>
      <c r="M6" s="69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66"/>
      <c r="G7" s="66"/>
      <c r="H7" s="66"/>
      <c r="I7" s="66"/>
      <c r="J7" s="72"/>
      <c r="K7" s="72"/>
      <c r="L7" s="66"/>
      <c r="M7" s="69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323.61242250568813</v>
      </c>
      <c r="F8" s="58"/>
      <c r="G8" s="58"/>
      <c r="H8" s="59"/>
      <c r="I8" s="60">
        <v>295</v>
      </c>
      <c r="J8" s="61">
        <v>355</v>
      </c>
      <c r="K8" s="61"/>
      <c r="L8" s="10">
        <f>(E8/M8)*100-100</f>
        <v>0</v>
      </c>
      <c r="M8" s="14">
        <v>323.61242250568813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495</v>
      </c>
      <c r="F9" s="58"/>
      <c r="G9" s="58"/>
      <c r="H9" s="59"/>
      <c r="I9" s="60">
        <v>495</v>
      </c>
      <c r="J9" s="61"/>
      <c r="K9" s="61"/>
      <c r="L9" s="10">
        <f t="shared" ref="L9:L38" si="1">(E9/M9)*100-100</f>
        <v>0</v>
      </c>
      <c r="M9" s="14">
        <v>495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770</v>
      </c>
      <c r="F10" s="58"/>
      <c r="G10" s="58"/>
      <c r="H10" s="59"/>
      <c r="I10" s="60">
        <v>770</v>
      </c>
      <c r="J10" s="61"/>
      <c r="K10" s="61"/>
      <c r="L10" s="10">
        <f t="shared" si="1"/>
        <v>0</v>
      </c>
      <c r="M10" s="14">
        <v>770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250.69315746536842</v>
      </c>
      <c r="F11" s="58">
        <v>320</v>
      </c>
      <c r="G11" s="58">
        <v>189.99</v>
      </c>
      <c r="H11" s="58">
        <f>(350+330+300)/3</f>
        <v>326.66666666666669</v>
      </c>
      <c r="I11" s="60">
        <f>(295+350)/2</f>
        <v>322.5</v>
      </c>
      <c r="J11" s="61">
        <f>(187.99+219.99)/2</f>
        <v>203.99</v>
      </c>
      <c r="K11" s="61">
        <v>189.99</v>
      </c>
      <c r="L11" s="10">
        <f t="shared" si="1"/>
        <v>-0.93137424802671376</v>
      </c>
      <c r="M11" s="14">
        <v>253.05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205.98732639450526</v>
      </c>
      <c r="F12" s="58">
        <v>250</v>
      </c>
      <c r="G12" s="58">
        <v>169.99</v>
      </c>
      <c r="H12" s="58">
        <f>(220+250)/2</f>
        <v>235</v>
      </c>
      <c r="I12" s="60">
        <v>250</v>
      </c>
      <c r="J12" s="61">
        <v>169.99</v>
      </c>
      <c r="K12" s="61">
        <f>(169.99+189.99)/2</f>
        <v>179.99</v>
      </c>
      <c r="L12" s="10">
        <f t="shared" si="1"/>
        <v>0</v>
      </c>
      <c r="M12" s="14">
        <v>205.98732639450526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854.55436478816466</v>
      </c>
      <c r="F13" s="58">
        <f>(270/0.5+250/0.18)/2</f>
        <v>964.44444444444446</v>
      </c>
      <c r="G13" s="73">
        <f>(106.29/0.18+119.99/0.18+154.99/0.18)/3</f>
        <v>706.05555555555566</v>
      </c>
      <c r="H13" s="58">
        <f>(430/0.5+190/0.18)/2</f>
        <v>957.77777777777783</v>
      </c>
      <c r="I13" s="60"/>
      <c r="J13" s="61">
        <f>(141/0.2+159/0.2+189/0.2)/3</f>
        <v>815</v>
      </c>
      <c r="K13" s="61">
        <f>(119.99/0.18+169.99/0.2+189.99/0.18)/3</f>
        <v>857.35370370370367</v>
      </c>
      <c r="L13" s="10">
        <f>(E13/M13)*100-100</f>
        <v>0</v>
      </c>
      <c r="M13" s="14">
        <v>854.55436478816466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126.68558445762555</v>
      </c>
      <c r="F14" s="58">
        <v>140</v>
      </c>
      <c r="G14" s="58">
        <f>(114.95+95.99/0.9+109.99)/3</f>
        <v>110.53185185185185</v>
      </c>
      <c r="H14" s="58">
        <f>(140+150/0.8)/2</f>
        <v>163.75</v>
      </c>
      <c r="I14" s="60"/>
      <c r="J14" s="61">
        <f>(98.99+112.99+109.99)/3</f>
        <v>107.32333333333332</v>
      </c>
      <c r="K14" s="58">
        <f>(109.99+119.99+129.99)/3</f>
        <v>119.99000000000001</v>
      </c>
      <c r="L14" s="10">
        <f t="shared" si="1"/>
        <v>-3.4853124748934761E-3</v>
      </c>
      <c r="M14" s="14">
        <v>126.69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84.546627315192183</v>
      </c>
      <c r="F15" s="58">
        <f>80/0.9</f>
        <v>88.888888888888886</v>
      </c>
      <c r="G15" s="58">
        <f>(69.99/0.9+75.99/0.95+114.99/1.4+189.99/2)/4</f>
        <v>83.721713659147866</v>
      </c>
      <c r="H15" s="58">
        <f>80/0.9</f>
        <v>88.888888888888886</v>
      </c>
      <c r="I15" s="60"/>
      <c r="J15" s="61">
        <f>(69/0.9+72.99/0.9+77.49/0.9)/3</f>
        <v>81.288888888888877</v>
      </c>
      <c r="K15" s="61">
        <f>(59.99/0.8+72.99/0.9+174.99/2+69.99/0.9)/4</f>
        <v>80.337291666666658</v>
      </c>
      <c r="L15" s="10">
        <f t="shared" si="1"/>
        <v>2.7066087089351782</v>
      </c>
      <c r="M15" s="14">
        <v>82.318585315958231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83.353896463678254</v>
      </c>
      <c r="F16" s="58">
        <v>85</v>
      </c>
      <c r="G16" s="58">
        <f>(49.99/0.97+82.99/0.9+99.99/0.93)/3</f>
        <v>83.754440872531987</v>
      </c>
      <c r="H16" s="58">
        <f>(75/0.9+115/0.95+100)/3</f>
        <v>101.46198830409357</v>
      </c>
      <c r="I16" s="60"/>
      <c r="J16" s="61">
        <f>(52.99/0.95+77.99/0.95+82.99)/3</f>
        <v>73.621228070175448</v>
      </c>
      <c r="K16" s="61">
        <f>(56.99/0.9+64.99+84.99/0.977+82.99/0.95)/4</f>
        <v>75.665226271495868</v>
      </c>
      <c r="L16" s="10">
        <f t="shared" si="1"/>
        <v>0</v>
      </c>
      <c r="M16" s="14">
        <v>83.353896463678254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92.482410351092852</v>
      </c>
      <c r="F17" s="74">
        <f>90/0.9</f>
        <v>100</v>
      </c>
      <c r="G17" s="74">
        <f>(72.99/0.9+79.99/0.9)/2</f>
        <v>84.98888888888888</v>
      </c>
      <c r="H17" s="74">
        <f>85/0.9</f>
        <v>94.444444444444443</v>
      </c>
      <c r="I17" s="75"/>
      <c r="J17" s="74">
        <f>(79.99/0.9+82.99+38.99/0.4+42.99/0.4)/4</f>
        <v>94.204444444444448</v>
      </c>
      <c r="K17" s="74">
        <f>(74.99/0.95+54.99/0.5+42.99/0.5+82.99)/4</f>
        <v>89.471710526315789</v>
      </c>
      <c r="L17" s="10">
        <f t="shared" si="1"/>
        <v>1.1497274155136239</v>
      </c>
      <c r="M17" s="14">
        <v>91.431200769512458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255.29258378450169</v>
      </c>
      <c r="F18" s="74">
        <f>(85/0.4+110/0.4+132/0.5)/3</f>
        <v>250.5</v>
      </c>
      <c r="G18" s="74">
        <f>(69.99/0.3+79.99/0.3+99.99/0.5+109.99/0.5+149.99/0.5)/5</f>
        <v>243.97466666666668</v>
      </c>
      <c r="H18" s="74">
        <f>(125/0.47+155/0.5)/2</f>
        <v>287.97872340425533</v>
      </c>
      <c r="I18" s="75"/>
      <c r="J18" s="74">
        <f>(114.99/0.5+119.99/0.5+139.99/0.5+71.99/0.3+81.99/0.3)/5</f>
        <v>252.64133333333334</v>
      </c>
      <c r="K18" s="74">
        <f>(99.99/0.4+109.99/0.5+122.99/0.47)/3</f>
        <v>243.87861702127657</v>
      </c>
      <c r="L18" s="52">
        <f t="shared" si="1"/>
        <v>0</v>
      </c>
      <c r="M18" s="53">
        <v>255.29258378450169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386.17527066205594</v>
      </c>
      <c r="F19" s="74">
        <f>(190/0.5+152/0.4+165/0.4)/3</f>
        <v>390.83333333333331</v>
      </c>
      <c r="G19" s="74">
        <f>(79.99/0.3+93.99/0.3+99.99/0.3+139.99/0.3)/4</f>
        <v>344.9666666666667</v>
      </c>
      <c r="H19" s="74">
        <f>(170/0.4+190/0.5)/2</f>
        <v>402.5</v>
      </c>
      <c r="I19" s="75"/>
      <c r="J19" s="74">
        <f>(99.99/0.35+138.99/0.33+144.99/0.38+179.99/0.38)/4</f>
        <v>390.51951469583048</v>
      </c>
      <c r="K19" s="74">
        <f>(129.99/0.3+119.99/0.3+149.99/0.33+99.99/0.3)/4</f>
        <v>405.27045454545453</v>
      </c>
      <c r="L19" s="52">
        <f t="shared" si="1"/>
        <v>1.2847436509384238</v>
      </c>
      <c r="M19" s="53">
        <v>381.27684065918839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105.09694674661901</v>
      </c>
      <c r="F20" s="58">
        <v>120</v>
      </c>
      <c r="G20" s="58">
        <f>(99.99+69.99+119.99+249.99/3)/4</f>
        <v>93.324999999999989</v>
      </c>
      <c r="H20" s="58">
        <v>120</v>
      </c>
      <c r="I20" s="60"/>
      <c r="J20" s="61">
        <f>(84.99+99.99+105.99+119.99+129.99+239.99/3)/6</f>
        <v>103.49111111111112</v>
      </c>
      <c r="K20" s="61">
        <f>(74.99+89.99+99.99+109.99+128.99/1.5)/5</f>
        <v>92.190666666666658</v>
      </c>
      <c r="L20" s="52">
        <f t="shared" si="1"/>
        <v>1.3080265535174647</v>
      </c>
      <c r="M20" s="53">
        <v>103.74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77.903840860520347</v>
      </c>
      <c r="F21" s="58">
        <v>90</v>
      </c>
      <c r="G21" s="58">
        <f>(359.99/5+70.99)/2</f>
        <v>71.494</v>
      </c>
      <c r="H21" s="58">
        <v>90</v>
      </c>
      <c r="I21" s="60"/>
      <c r="J21" s="61">
        <f>(69.99+347.99/5)/2</f>
        <v>69.793999999999997</v>
      </c>
      <c r="K21" s="61">
        <f>(69.99+359.99/5)/2</f>
        <v>70.994</v>
      </c>
      <c r="L21" s="52">
        <f t="shared" si="1"/>
        <v>-2.2536501122705914</v>
      </c>
      <c r="M21" s="53">
        <v>79.7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928.83663536346955</v>
      </c>
      <c r="F22" s="58">
        <f>140/0.1</f>
        <v>1400</v>
      </c>
      <c r="G22" s="58">
        <f>(24.89/0.1+139.99/0.25+169.99/0.1+119.99/0.1)/4</f>
        <v>927.16499999999996</v>
      </c>
      <c r="H22" s="58">
        <f>250/0.2</f>
        <v>1250</v>
      </c>
      <c r="I22" s="60"/>
      <c r="J22" s="61">
        <f>(29.99/0.11+149.99/0.25)/2</f>
        <v>436.29818181818183</v>
      </c>
      <c r="K22" s="61">
        <f>(89.99/0.1+169.99/0.25+269.99/0.2)/3</f>
        <v>976.60333333333335</v>
      </c>
      <c r="L22" s="52">
        <f t="shared" si="1"/>
        <v>-3.6224070136370301E-4</v>
      </c>
      <c r="M22" s="53">
        <v>928.84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23.390269619106345</v>
      </c>
      <c r="F23" s="58">
        <v>35</v>
      </c>
      <c r="G23" s="58">
        <v>18.989999999999998</v>
      </c>
      <c r="H23" s="58">
        <v>30</v>
      </c>
      <c r="I23" s="60"/>
      <c r="J23" s="61">
        <f>(13.99+22.99)/2</f>
        <v>18.489999999999998</v>
      </c>
      <c r="K23" s="61">
        <f>18.99</f>
        <v>18.989999999999998</v>
      </c>
      <c r="L23" s="52">
        <f t="shared" si="1"/>
        <v>1.1527110147255826E-3</v>
      </c>
      <c r="M23" s="53">
        <v>23.39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49.747841069264354</v>
      </c>
      <c r="F24" s="58">
        <f>(110/2+140/2)/2</f>
        <v>62.5</v>
      </c>
      <c r="G24" s="58">
        <f>(59.99/2+109.99/2+99.99/2)/3</f>
        <v>44.994999999999997</v>
      </c>
      <c r="H24" s="58">
        <f>(110+130)/4</f>
        <v>60</v>
      </c>
      <c r="I24" s="60"/>
      <c r="J24" s="61">
        <f>(79.99/2+59.99/2+114.99/2)/3</f>
        <v>42.494999999999997</v>
      </c>
      <c r="K24" s="61">
        <f>(69.99/2+99.99/2)/2</f>
        <v>42.494999999999997</v>
      </c>
      <c r="L24" s="52">
        <f t="shared" si="1"/>
        <v>0</v>
      </c>
      <c r="M24" s="53">
        <v>49.747841069264354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82.663261902955384</v>
      </c>
      <c r="F25" s="58">
        <f>40/0.5</f>
        <v>80</v>
      </c>
      <c r="G25" s="58">
        <f>45.99/0.5</f>
        <v>91.98</v>
      </c>
      <c r="H25" s="58">
        <f>40/0.5</f>
        <v>80</v>
      </c>
      <c r="I25" s="60"/>
      <c r="J25" s="61">
        <f>(37.99/0.5+43.99/0.5)/2</f>
        <v>81.98</v>
      </c>
      <c r="K25" s="58">
        <f>(34.99/0.5+44.99/0.5)/2</f>
        <v>79.98</v>
      </c>
      <c r="L25" s="52">
        <f t="shared" si="1"/>
        <v>0</v>
      </c>
      <c r="M25" s="53">
        <v>82.663261902955384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79.978179871648351</v>
      </c>
      <c r="F26" s="58">
        <f>40/0.5</f>
        <v>80</v>
      </c>
      <c r="G26" s="58">
        <f>(39.99/0.5+41.99/0.5)/2</f>
        <v>81.98</v>
      </c>
      <c r="H26" s="58">
        <f>40/0.5</f>
        <v>80</v>
      </c>
      <c r="I26" s="60"/>
      <c r="J26" s="61">
        <f>(37.99/0.5+43.99/0.55)/2</f>
        <v>77.980909090909094</v>
      </c>
      <c r="K26" s="61">
        <f>39.99/0.5</f>
        <v>79.98</v>
      </c>
      <c r="L26" s="52">
        <f t="shared" si="1"/>
        <v>0</v>
      </c>
      <c r="M26" s="53">
        <v>79.978179871648351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96.339828028038895</v>
      </c>
      <c r="F27" s="74">
        <f>60/0.8</f>
        <v>75</v>
      </c>
      <c r="G27" s="74">
        <f>(37.99/0.8+102.99/0.8)/2</f>
        <v>88.112499999999983</v>
      </c>
      <c r="H27" s="74">
        <f>100/0.9</f>
        <v>111.11111111111111</v>
      </c>
      <c r="I27" s="76"/>
      <c r="J27" s="74">
        <f>(39.99/0.8+64.99+99.99/0.9)/3</f>
        <v>75.359166666666667</v>
      </c>
      <c r="K27" s="74">
        <f>(39.99/0.8+99.99/0.4)/2</f>
        <v>149.98124999999999</v>
      </c>
      <c r="L27" s="52">
        <f t="shared" si="1"/>
        <v>0</v>
      </c>
      <c r="M27" s="53">
        <v>96.339828028038895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126.18380390074481</v>
      </c>
      <c r="F28" s="58">
        <f>(200/1.5+140/0.9)/2</f>
        <v>144.44444444444446</v>
      </c>
      <c r="G28" s="58">
        <f>(73.99/0.8+89.99/0.8+119.99/0.8)/3</f>
        <v>118.32083333333333</v>
      </c>
      <c r="H28" s="58">
        <f>(150/0.9+220/1.5)/2</f>
        <v>156.66666666666666</v>
      </c>
      <c r="I28" s="60"/>
      <c r="J28" s="61">
        <f>(79.99/0.8+84.99/0.9)/2</f>
        <v>97.210416666666646</v>
      </c>
      <c r="K28" s="61">
        <f>(84.99/0.8+99.99/0.8+109.99/0.8)/3</f>
        <v>122.90416666666665</v>
      </c>
      <c r="L28" s="52">
        <f t="shared" si="1"/>
        <v>-0.1402677613729395</v>
      </c>
      <c r="M28" s="53">
        <v>126.3610477136201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73.447099573044696</v>
      </c>
      <c r="F29" s="73">
        <f>90/0.9</f>
        <v>100</v>
      </c>
      <c r="G29" s="73">
        <f>36.99/0.8</f>
        <v>46.237499999999997</v>
      </c>
      <c r="H29" s="73">
        <f>100/0.8</f>
        <v>125</v>
      </c>
      <c r="I29" s="60"/>
      <c r="J29" s="61">
        <f>(35.99+59.99/0.8)/2</f>
        <v>55.488749999999996</v>
      </c>
      <c r="K29" s="61">
        <f>59.98/0.9</f>
        <v>66.644444444444446</v>
      </c>
      <c r="L29" s="52">
        <f t="shared" si="1"/>
        <v>0</v>
      </c>
      <c r="M29" s="54">
        <v>73.447099573044696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77.009596319765038</v>
      </c>
      <c r="F30" s="74">
        <f>80/0.8</f>
        <v>100</v>
      </c>
      <c r="G30" s="74">
        <f>(43.99/0.8+69.99/0.7)/2</f>
        <v>77.486607142857139</v>
      </c>
      <c r="H30" s="74">
        <f>100/0.9</f>
        <v>111.11111111111111</v>
      </c>
      <c r="I30" s="76"/>
      <c r="J30" s="74">
        <f>39.99/0.8</f>
        <v>49.987499999999997</v>
      </c>
      <c r="K30" s="74">
        <f>(54.99/0.8+39.99/0.7)/2</f>
        <v>62.933035714285715</v>
      </c>
      <c r="L30" s="52">
        <f t="shared" si="1"/>
        <v>-5.2419196853747962E-4</v>
      </c>
      <c r="M30" s="54">
        <v>77.010000000000005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101.30817128283138</v>
      </c>
      <c r="F31" s="73">
        <f>120/0.9</f>
        <v>133.33333333333334</v>
      </c>
      <c r="G31" s="73">
        <f>(33.99/0.8+79.99/0.8+119.99/0.9)/3</f>
        <v>91.93240740740741</v>
      </c>
      <c r="H31" s="73">
        <f>120/0.9</f>
        <v>133.33333333333334</v>
      </c>
      <c r="I31" s="60"/>
      <c r="J31" s="61">
        <f>(33.99/0.8+57.79/0.8+86.99/0.9+84.99/0.9)/4</f>
        <v>76.453472222222217</v>
      </c>
      <c r="K31" s="73">
        <f>(34.99/0.8+79.99/0.8+89.99/0.8)/3</f>
        <v>85.404166666666654</v>
      </c>
      <c r="L31" s="52">
        <f t="shared" si="1"/>
        <v>0</v>
      </c>
      <c r="M31" s="54">
        <v>101.30817128283138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69.281942559764204</v>
      </c>
      <c r="F32" s="77"/>
      <c r="G32" s="74">
        <f>(20/0.4+69.99/0.8+39.99/0.8)/3</f>
        <v>62.491666666666653</v>
      </c>
      <c r="H32" s="74">
        <f>80/0.8</f>
        <v>100</v>
      </c>
      <c r="I32" s="75"/>
      <c r="J32" s="74">
        <f>(14.99/0.4+59.99/0.9)/2</f>
        <v>52.06527777777778</v>
      </c>
      <c r="K32" s="74">
        <f>(29.99/0.4+34.99/0.4+39.99/0.8)/3</f>
        <v>70.8125</v>
      </c>
      <c r="L32" s="52">
        <f t="shared" si="1"/>
        <v>0</v>
      </c>
      <c r="M32" s="54">
        <v>69.281942559764204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74">
        <f>85/0.6</f>
        <v>141.66666666666669</v>
      </c>
      <c r="G33" s="74">
        <f>30.99/0.8</f>
        <v>38.737499999999997</v>
      </c>
      <c r="H33" s="74">
        <f>80/0.65</f>
        <v>123.07692307692307</v>
      </c>
      <c r="I33" s="75"/>
      <c r="J33" s="74">
        <f>22.99/0.6</f>
        <v>38.316666666666663</v>
      </c>
      <c r="K33" s="74">
        <f>34.99/0.7</f>
        <v>49.985714285714295</v>
      </c>
      <c r="L33" s="52">
        <f>(E33/M33)*100-100</f>
        <v>0</v>
      </c>
      <c r="M33" s="54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91.508191825511588</v>
      </c>
      <c r="F34" s="73">
        <f>90</f>
        <v>90</v>
      </c>
      <c r="G34" s="73">
        <f>(37.99/0.4+21.99/0.4)/2</f>
        <v>74.974999999999994</v>
      </c>
      <c r="H34" s="73">
        <f>80/0.47</f>
        <v>170.21276595744681</v>
      </c>
      <c r="I34" s="60"/>
      <c r="J34" s="61">
        <f>(19.99/0.4+49.99/0.4)/2</f>
        <v>87.474999999999994</v>
      </c>
      <c r="K34" s="61">
        <f>(19.99/0.4+34.99/0.45)/2</f>
        <v>63.865277777777777</v>
      </c>
      <c r="L34" s="52">
        <f t="shared" si="1"/>
        <v>0</v>
      </c>
      <c r="M34" s="54">
        <v>91.508191825511588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86.816181591648572</v>
      </c>
      <c r="F35" s="74">
        <f>80/0.4</f>
        <v>200</v>
      </c>
      <c r="G35" s="74">
        <f>18.99/0.4</f>
        <v>47.474999999999994</v>
      </c>
      <c r="H35" s="74">
        <f>70/0.8</f>
        <v>87.5</v>
      </c>
      <c r="I35" s="76"/>
      <c r="J35" s="74">
        <f>(18.99/0.4+31.49/0.4)/2</f>
        <v>63.099999999999994</v>
      </c>
      <c r="K35" s="74">
        <f>(34.99/0.4+39.99/0.45+19.99/0.45+69.99/0.45)/4</f>
        <v>94.074305555555554</v>
      </c>
      <c r="L35" s="52">
        <f t="shared" si="1"/>
        <v>0</v>
      </c>
      <c r="M35" s="54">
        <v>86.816181591648572</v>
      </c>
      <c r="N35" s="62"/>
      <c r="O35" s="63"/>
      <c r="P35" s="63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38.738123923367269</v>
      </c>
      <c r="F36" s="73">
        <v>60</v>
      </c>
      <c r="G36" s="73">
        <v>32.99</v>
      </c>
      <c r="H36" s="73">
        <v>45</v>
      </c>
      <c r="I36" s="60"/>
      <c r="J36" s="61">
        <v>27.99</v>
      </c>
      <c r="K36" s="61">
        <v>34.99</v>
      </c>
      <c r="L36" s="52">
        <f t="shared" si="1"/>
        <v>-1.1782552975324876</v>
      </c>
      <c r="M36" s="54">
        <v>39.200000000000003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40.257347968337577</v>
      </c>
      <c r="F37" s="73">
        <v>60</v>
      </c>
      <c r="G37" s="73">
        <v>29.99</v>
      </c>
      <c r="H37" s="73">
        <v>60</v>
      </c>
      <c r="I37" s="60"/>
      <c r="J37" s="61">
        <v>27.99</v>
      </c>
      <c r="K37" s="61">
        <v>34.99</v>
      </c>
      <c r="L37" s="52">
        <f t="shared" si="1"/>
        <v>-3.9662500755305956</v>
      </c>
      <c r="M37" s="54">
        <v>41.92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41.556133624514629</v>
      </c>
      <c r="F38" s="73">
        <f>(40+60)/2</f>
        <v>50</v>
      </c>
      <c r="G38" s="73">
        <v>34.99</v>
      </c>
      <c r="H38" s="73">
        <v>50</v>
      </c>
      <c r="I38" s="60"/>
      <c r="J38" s="61">
        <v>40.49</v>
      </c>
      <c r="K38" s="61">
        <v>34.99</v>
      </c>
      <c r="L38" s="52">
        <f t="shared" si="1"/>
        <v>0.25605217011973025</v>
      </c>
      <c r="M38" s="54">
        <v>41.45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42.251640705811724</v>
      </c>
      <c r="F39" s="73">
        <v>60</v>
      </c>
      <c r="G39" s="73">
        <v>25.99</v>
      </c>
      <c r="H39" s="73">
        <v>60</v>
      </c>
      <c r="I39" s="60"/>
      <c r="J39" s="61">
        <v>23.99</v>
      </c>
      <c r="K39" s="61">
        <v>59.99</v>
      </c>
      <c r="L39" s="52">
        <f>(E39/M39)*100-100</f>
        <v>-1.5801520945452552</v>
      </c>
      <c r="M39" s="54">
        <v>42.93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151.62967133467251</v>
      </c>
      <c r="F40" s="78">
        <v>200</v>
      </c>
      <c r="G40" s="78">
        <f>(95.99+119.99+149.99)/3</f>
        <v>121.99000000000001</v>
      </c>
      <c r="H40" s="78">
        <v>200</v>
      </c>
      <c r="I40" s="79"/>
      <c r="J40" s="80">
        <f>(95.49+119.99+139.99+149.99)/4</f>
        <v>126.36500000000001</v>
      </c>
      <c r="K40" s="80">
        <v>129.99</v>
      </c>
      <c r="L40" s="55">
        <f>(E40/M40)*100-100</f>
        <v>-0.19767568309583794</v>
      </c>
      <c r="M40" s="56">
        <v>151.93</v>
      </c>
    </row>
    <row r="41" spans="2:16" ht="34.5" customHeight="1" x14ac:dyDescent="0.2">
      <c r="C41" s="41"/>
      <c r="D41" s="42"/>
      <c r="E41" s="43"/>
      <c r="F41" s="3"/>
      <c r="G41" s="57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57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57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57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57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57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57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57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57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57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0" orientation="portrait" r:id="rId1"/>
  <rowBreaks count="1" manualBreakCount="1">
    <brk id="4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2024-10-11T06:01:46Z</cp:lastPrinted>
  <dcterms:created xsi:type="dcterms:W3CDTF">2007-04-16T07:34:00Z</dcterms:created>
  <dcterms:modified xsi:type="dcterms:W3CDTF">2024-10-22T09:13:31Z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