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fc\fc$\Бюджет 5\УТОЧНЕНИЕ БЮДЖЕТА\Уточнение бюджета 2021 год\4 поправка - Сентябрь\"/>
    </mc:Choice>
  </mc:AlternateContent>
  <bookViews>
    <workbookView xWindow="0" yWindow="0" windowWidth="23040" windowHeight="8595"/>
  </bookViews>
  <sheets>
    <sheet name="сентябрь" sheetId="1" r:id="rId1"/>
  </sheets>
  <externalReferences>
    <externalReference r:id="rId2"/>
  </externalReferences>
  <definedNames>
    <definedName name="_xlnm._FilterDatabase" localSheetId="0" hidden="1">сентябрь!$B$5:$P$5</definedName>
    <definedName name="Z_2DB83B39_A831_4212_BEA7_73F516BD3A9F_.wvu.FilterData" localSheetId="0" hidden="1">сентябрь!$A$5:$AZ$193</definedName>
    <definedName name="Z_2DB83B39_A831_4212_BEA7_73F516BD3A9F_.wvu.Rows" localSheetId="0" hidden="1">сентябрь!#REF!</definedName>
    <definedName name="Z_8BF64052_1B6F_4592_91F3_92288AEABC95_.wvu.FilterData" localSheetId="0" hidden="1">сентябрь!$A$5:$AZ$193</definedName>
    <definedName name="Z_8F53D04B_24B4_43FD_A4E6_52223FE1062C_.wvu.FilterData" localSheetId="0" hidden="1">сентябрь!$A$5:$AZ$193</definedName>
    <definedName name="Z_8F53D04B_24B4_43FD_A4E6_52223FE1062C_.wvu.Rows" localSheetId="0" hidden="1">сентябрь!#REF!</definedName>
    <definedName name="Z_9E51A5E1_C5B3_4EA4_B1AF_98AFFD6EC5D1_.wvu.FilterData" localSheetId="0" hidden="1">сентябрь!$A$5:$AZ$193</definedName>
    <definedName name="Z_9E51A5E1_C5B3_4EA4_B1AF_98AFFD6EC5D1_.wvu.Rows" localSheetId="0" hidden="1">сентябрь!#REF!</definedName>
    <definedName name="_xlnm.Print_Titles" localSheetId="0">сентябрь!$5:$5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7" i="1" l="1"/>
  <c r="P98" i="1"/>
  <c r="I97" i="1"/>
  <c r="K97" i="1"/>
  <c r="L97" i="1"/>
  <c r="M97" i="1"/>
  <c r="P191" i="1"/>
  <c r="P189" i="1"/>
  <c r="P187" i="1"/>
  <c r="P186" i="1" s="1"/>
  <c r="P184" i="1"/>
  <c r="P178" i="1"/>
  <c r="P171" i="1" s="1"/>
  <c r="P170" i="1" s="1"/>
  <c r="P179" i="1"/>
  <c r="P173" i="1"/>
  <c r="P174" i="1"/>
  <c r="P175" i="1"/>
  <c r="P176" i="1"/>
  <c r="P177" i="1"/>
  <c r="P172" i="1"/>
  <c r="P169" i="1"/>
  <c r="P168" i="1" s="1"/>
  <c r="P167" i="1" s="1"/>
  <c r="P166" i="1"/>
  <c r="P164" i="1"/>
  <c r="P163" i="1"/>
  <c r="P162" i="1" s="1"/>
  <c r="P161" i="1"/>
  <c r="P160" i="1" s="1"/>
  <c r="P159" i="1"/>
  <c r="P165" i="1"/>
  <c r="P180" i="1"/>
  <c r="P183" i="1"/>
  <c r="P182" i="1" s="1"/>
  <c r="P188" i="1"/>
  <c r="P190" i="1"/>
  <c r="P193" i="1"/>
  <c r="P154" i="1"/>
  <c r="P155" i="1"/>
  <c r="P156" i="1"/>
  <c r="P157" i="1"/>
  <c r="P158" i="1"/>
  <c r="P153" i="1"/>
  <c r="P152" i="1" s="1"/>
  <c r="P148" i="1"/>
  <c r="P149" i="1"/>
  <c r="P150" i="1"/>
  <c r="P151" i="1"/>
  <c r="P147" i="1"/>
  <c r="P145" i="1"/>
  <c r="P143" i="1"/>
  <c r="P142" i="1" s="1"/>
  <c r="P140" i="1"/>
  <c r="P139" i="1" s="1"/>
  <c r="P135" i="1"/>
  <c r="P134" i="1"/>
  <c r="P133" i="1" s="1"/>
  <c r="P131" i="1"/>
  <c r="P132" i="1"/>
  <c r="P130" i="1"/>
  <c r="P127" i="1"/>
  <c r="P126" i="1"/>
  <c r="P125" i="1"/>
  <c r="P123" i="1"/>
  <c r="P122" i="1" s="1"/>
  <c r="P121" i="1"/>
  <c r="P120" i="1" s="1"/>
  <c r="P119" i="1"/>
  <c r="P118" i="1"/>
  <c r="P115" i="1"/>
  <c r="P114" i="1" s="1"/>
  <c r="P113" i="1"/>
  <c r="P112" i="1"/>
  <c r="P109" i="1"/>
  <c r="P108" i="1"/>
  <c r="P105" i="1"/>
  <c r="P104" i="1"/>
  <c r="P103" i="1"/>
  <c r="P102" i="1"/>
  <c r="P107" i="1"/>
  <c r="P106" i="1" s="1"/>
  <c r="P111" i="1"/>
  <c r="P128" i="1"/>
  <c r="P136" i="1"/>
  <c r="P144" i="1"/>
  <c r="P101" i="1"/>
  <c r="P94" i="1"/>
  <c r="P95" i="1"/>
  <c r="P93" i="1"/>
  <c r="P88" i="1"/>
  <c r="P85" i="1"/>
  <c r="P82" i="1"/>
  <c r="P79" i="1"/>
  <c r="P75" i="1"/>
  <c r="P74" i="1"/>
  <c r="P73" i="1"/>
  <c r="P71" i="1"/>
  <c r="P65" i="1"/>
  <c r="P59" i="1"/>
  <c r="P57" i="1"/>
  <c r="P52" i="1"/>
  <c r="P48" i="1"/>
  <c r="P45" i="1"/>
  <c r="P44" i="1"/>
  <c r="P42" i="1"/>
  <c r="P41" i="1"/>
  <c r="P39" i="1"/>
  <c r="P34" i="1"/>
  <c r="P32" i="1"/>
  <c r="P31" i="1"/>
  <c r="P28" i="1"/>
  <c r="P29" i="1"/>
  <c r="P27" i="1"/>
  <c r="P25" i="1"/>
  <c r="P23" i="1" s="1"/>
  <c r="P24" i="1"/>
  <c r="P18" i="1"/>
  <c r="P19" i="1"/>
  <c r="P20" i="1"/>
  <c r="P17" i="1"/>
  <c r="P11" i="1"/>
  <c r="P12" i="1"/>
  <c r="P13" i="1"/>
  <c r="P14" i="1"/>
  <c r="P10" i="1"/>
  <c r="P185" i="1" l="1"/>
  <c r="P146" i="1"/>
  <c r="P124" i="1"/>
  <c r="P117" i="1"/>
  <c r="P116" i="1" s="1"/>
  <c r="P141" i="1"/>
  <c r="P138" i="1" s="1"/>
  <c r="P110" i="1"/>
  <c r="I188" i="1"/>
  <c r="L188" i="1"/>
  <c r="I122" i="1"/>
  <c r="L122" i="1"/>
  <c r="I81" i="1"/>
  <c r="L81" i="1"/>
  <c r="I72" i="1"/>
  <c r="I69" i="1" s="1"/>
  <c r="I68" i="1" s="1"/>
  <c r="L72" i="1"/>
  <c r="L69" i="1" s="1"/>
  <c r="L68" i="1" s="1"/>
  <c r="I66" i="1"/>
  <c r="L66" i="1"/>
  <c r="P66" i="1"/>
  <c r="I64" i="1"/>
  <c r="L64" i="1"/>
  <c r="I61" i="1"/>
  <c r="I60" i="1" s="1"/>
  <c r="L61" i="1"/>
  <c r="L60" i="1" s="1"/>
  <c r="P61" i="1"/>
  <c r="P60" i="1" s="1"/>
  <c r="I58" i="1"/>
  <c r="L58" i="1"/>
  <c r="I56" i="1"/>
  <c r="L56" i="1"/>
  <c r="L55" i="1" s="1"/>
  <c r="I51" i="1"/>
  <c r="K51" i="1"/>
  <c r="L51" i="1"/>
  <c r="I49" i="1"/>
  <c r="L49" i="1"/>
  <c r="P49" i="1"/>
  <c r="I47" i="1"/>
  <c r="L47" i="1"/>
  <c r="H49" i="1"/>
  <c r="H51" i="1"/>
  <c r="H57" i="1"/>
  <c r="H56" i="1" s="1"/>
  <c r="H55" i="1" s="1"/>
  <c r="H58" i="1"/>
  <c r="H61" i="1"/>
  <c r="H60" i="1" s="1"/>
  <c r="H64" i="1"/>
  <c r="H66" i="1"/>
  <c r="H72" i="1"/>
  <c r="H69" i="1" s="1"/>
  <c r="H68" i="1" s="1"/>
  <c r="H78" i="1"/>
  <c r="H77" i="1" s="1"/>
  <c r="H76" i="1" s="1"/>
  <c r="H81" i="1"/>
  <c r="H84" i="1"/>
  <c r="H83" i="1" s="1"/>
  <c r="H87" i="1"/>
  <c r="H86" i="1" s="1"/>
  <c r="H92" i="1"/>
  <c r="H91" i="1" s="1"/>
  <c r="H105" i="1"/>
  <c r="H97" i="1" s="1"/>
  <c r="H96" i="1" s="1"/>
  <c r="H107" i="1"/>
  <c r="H106" i="1" s="1"/>
  <c r="H111" i="1"/>
  <c r="H114" i="1"/>
  <c r="H117" i="1"/>
  <c r="H116" i="1" s="1"/>
  <c r="H120" i="1"/>
  <c r="H122" i="1"/>
  <c r="I43" i="1"/>
  <c r="L43" i="1"/>
  <c r="I40" i="1"/>
  <c r="L40" i="1"/>
  <c r="I38" i="1"/>
  <c r="L38" i="1"/>
  <c r="I35" i="1"/>
  <c r="L35" i="1"/>
  <c r="P35" i="1"/>
  <c r="I33" i="1"/>
  <c r="L33" i="1"/>
  <c r="I30" i="1"/>
  <c r="L30" i="1"/>
  <c r="L26" i="1"/>
  <c r="L23" i="1"/>
  <c r="L22" i="1" s="1"/>
  <c r="L16" i="1"/>
  <c r="L15" i="1" s="1"/>
  <c r="L9" i="1"/>
  <c r="L8" i="1" s="1"/>
  <c r="I165" i="1"/>
  <c r="J165" i="1"/>
  <c r="K165" i="1"/>
  <c r="L165" i="1"/>
  <c r="M165" i="1"/>
  <c r="N165" i="1"/>
  <c r="O165" i="1"/>
  <c r="H165" i="1"/>
  <c r="I146" i="1"/>
  <c r="L146" i="1"/>
  <c r="H146" i="1"/>
  <c r="I142" i="1"/>
  <c r="J142" i="1"/>
  <c r="K142" i="1"/>
  <c r="L142" i="1"/>
  <c r="M142" i="1"/>
  <c r="N142" i="1"/>
  <c r="O142" i="1"/>
  <c r="H142" i="1"/>
  <c r="L84" i="1"/>
  <c r="L83" i="1" s="1"/>
  <c r="L78" i="1"/>
  <c r="L77" i="1" s="1"/>
  <c r="L76" i="1" s="1"/>
  <c r="I46" i="1" l="1"/>
  <c r="I55" i="1"/>
  <c r="I63" i="1"/>
  <c r="L63" i="1"/>
  <c r="L54" i="1" s="1"/>
  <c r="L46" i="1"/>
  <c r="H80" i="1"/>
  <c r="L37" i="1"/>
  <c r="H63" i="1"/>
  <c r="H54" i="1" s="1"/>
  <c r="H110" i="1"/>
  <c r="H9" i="1" l="1"/>
  <c r="H8" i="1" s="1"/>
  <c r="H16" i="1"/>
  <c r="H15" i="1" s="1"/>
  <c r="H23" i="1"/>
  <c r="H28" i="1"/>
  <c r="H26" i="1" s="1"/>
  <c r="H30" i="1"/>
  <c r="H33" i="1"/>
  <c r="H35" i="1"/>
  <c r="H38" i="1"/>
  <c r="H40" i="1"/>
  <c r="H43" i="1"/>
  <c r="H124" i="1"/>
  <c r="H128" i="1"/>
  <c r="J137" i="1"/>
  <c r="J136" i="1" s="1"/>
  <c r="K137" i="1"/>
  <c r="O137" i="1" s="1"/>
  <c r="O136" i="1" s="1"/>
  <c r="N137" i="1"/>
  <c r="N136" i="1" s="1"/>
  <c r="H136" i="1"/>
  <c r="I136" i="1"/>
  <c r="H37" i="1" l="1"/>
  <c r="H22" i="1"/>
  <c r="H21" i="1" s="1"/>
  <c r="K136" i="1"/>
  <c r="M137" i="1"/>
  <c r="M136" i="1" s="1"/>
  <c r="I190" i="1" l="1"/>
  <c r="J190" i="1"/>
  <c r="K190" i="1"/>
  <c r="L190" i="1"/>
  <c r="L185" i="1" s="1"/>
  <c r="M190" i="1"/>
  <c r="N190" i="1"/>
  <c r="O190" i="1"/>
  <c r="H190" i="1"/>
  <c r="I183" i="1"/>
  <c r="I182" i="1" s="1"/>
  <c r="L183" i="1"/>
  <c r="L182" i="1" s="1"/>
  <c r="I180" i="1"/>
  <c r="L180" i="1"/>
  <c r="I171" i="1"/>
  <c r="L171" i="1"/>
  <c r="I162" i="1"/>
  <c r="L162" i="1"/>
  <c r="I160" i="1"/>
  <c r="L160" i="1"/>
  <c r="I152" i="1"/>
  <c r="L152" i="1"/>
  <c r="I170" i="1" l="1"/>
  <c r="L170" i="1"/>
  <c r="I144" i="1"/>
  <c r="I141" i="1" s="1"/>
  <c r="J144" i="1"/>
  <c r="K144" i="1"/>
  <c r="L144" i="1"/>
  <c r="L141" i="1" s="1"/>
  <c r="M144" i="1"/>
  <c r="N144" i="1"/>
  <c r="O144" i="1"/>
  <c r="H144" i="1"/>
  <c r="H141" i="1" s="1"/>
  <c r="I139" i="1"/>
  <c r="L139" i="1"/>
  <c r="I128" i="1"/>
  <c r="L128" i="1"/>
  <c r="I133" i="1"/>
  <c r="L133" i="1"/>
  <c r="I124" i="1"/>
  <c r="L124" i="1"/>
  <c r="I117" i="1"/>
  <c r="I116" i="1" s="1"/>
  <c r="L117" i="1"/>
  <c r="L116" i="1" s="1"/>
  <c r="I111" i="1"/>
  <c r="L111" i="1"/>
  <c r="M111" i="1"/>
  <c r="I114" i="1"/>
  <c r="L114" i="1"/>
  <c r="M114" i="1"/>
  <c r="I107" i="1"/>
  <c r="I106" i="1" s="1"/>
  <c r="L107" i="1"/>
  <c r="L106" i="1" s="1"/>
  <c r="L96" i="1"/>
  <c r="I92" i="1"/>
  <c r="I91" i="1" s="1"/>
  <c r="L92" i="1"/>
  <c r="L91" i="1" s="1"/>
  <c r="I87" i="1"/>
  <c r="L87" i="1"/>
  <c r="L86" i="1" s="1"/>
  <c r="L80" i="1" s="1"/>
  <c r="I26" i="1"/>
  <c r="I23" i="1"/>
  <c r="I22" i="1" l="1"/>
  <c r="I110" i="1"/>
  <c r="L138" i="1"/>
  <c r="L21" i="1"/>
  <c r="L7" i="1" s="1"/>
  <c r="M110" i="1"/>
  <c r="L110" i="1"/>
  <c r="I138" i="1"/>
  <c r="L193" i="1"/>
  <c r="L90" i="1" l="1"/>
  <c r="L89" i="1" s="1"/>
  <c r="L53" i="1" s="1"/>
  <c r="L6" i="1" s="1"/>
  <c r="L192" i="1" s="1"/>
  <c r="I186" i="1"/>
  <c r="N186" i="1"/>
  <c r="I168" i="1"/>
  <c r="I167" i="1" s="1"/>
  <c r="M168" i="1"/>
  <c r="M167" i="1" s="1"/>
  <c r="I120" i="1"/>
  <c r="I96" i="1"/>
  <c r="I86" i="1"/>
  <c r="I84" i="1"/>
  <c r="I83" i="1" s="1"/>
  <c r="I78" i="1"/>
  <c r="I77" i="1" s="1"/>
  <c r="I76" i="1" s="1"/>
  <c r="I54" i="1"/>
  <c r="I16" i="1"/>
  <c r="I15" i="1" s="1"/>
  <c r="I9" i="1"/>
  <c r="I193" i="1" s="1"/>
  <c r="P38" i="1"/>
  <c r="P81" i="1"/>
  <c r="K189" i="1"/>
  <c r="J189" i="1"/>
  <c r="J188" i="1" s="1"/>
  <c r="H188" i="1"/>
  <c r="M187" i="1"/>
  <c r="M186" i="1" s="1"/>
  <c r="K187" i="1"/>
  <c r="O187" i="1" s="1"/>
  <c r="O186" i="1" s="1"/>
  <c r="J187" i="1"/>
  <c r="J186" i="1" s="1"/>
  <c r="H186" i="1"/>
  <c r="H185" i="1" s="1"/>
  <c r="K184" i="1"/>
  <c r="K183" i="1" s="1"/>
  <c r="K182" i="1" s="1"/>
  <c r="J184" i="1"/>
  <c r="J183" i="1" s="1"/>
  <c r="J182" i="1" s="1"/>
  <c r="H183" i="1"/>
  <c r="H182" i="1" s="1"/>
  <c r="K181" i="1"/>
  <c r="K180" i="1" s="1"/>
  <c r="J181" i="1"/>
  <c r="J180" i="1" s="1"/>
  <c r="H180" i="1"/>
  <c r="K179" i="1"/>
  <c r="O179" i="1" s="1"/>
  <c r="J179" i="1"/>
  <c r="K178" i="1"/>
  <c r="O178" i="1" s="1"/>
  <c r="J178" i="1"/>
  <c r="H171" i="1"/>
  <c r="K177" i="1"/>
  <c r="O177" i="1" s="1"/>
  <c r="J177" i="1"/>
  <c r="K176" i="1"/>
  <c r="J176" i="1"/>
  <c r="K175" i="1"/>
  <c r="J175" i="1"/>
  <c r="K174" i="1"/>
  <c r="O174" i="1" s="1"/>
  <c r="J174" i="1"/>
  <c r="K173" i="1"/>
  <c r="O173" i="1" s="1"/>
  <c r="J173" i="1"/>
  <c r="K172" i="1"/>
  <c r="J172" i="1"/>
  <c r="K169" i="1"/>
  <c r="O169" i="1" s="1"/>
  <c r="O168" i="1" s="1"/>
  <c r="O167" i="1" s="1"/>
  <c r="J169" i="1"/>
  <c r="J168" i="1" s="1"/>
  <c r="J167" i="1" s="1"/>
  <c r="H168" i="1"/>
  <c r="H167" i="1" s="1"/>
  <c r="K164" i="1"/>
  <c r="O164" i="1" s="1"/>
  <c r="J164" i="1"/>
  <c r="K163" i="1"/>
  <c r="J163" i="1"/>
  <c r="H162" i="1"/>
  <c r="K161" i="1"/>
  <c r="K160" i="1" s="1"/>
  <c r="J161" i="1"/>
  <c r="J160" i="1" s="1"/>
  <c r="H160" i="1"/>
  <c r="K159" i="1"/>
  <c r="J159" i="1"/>
  <c r="K158" i="1"/>
  <c r="O158" i="1" s="1"/>
  <c r="K157" i="1"/>
  <c r="J157" i="1"/>
  <c r="K156" i="1"/>
  <c r="O156" i="1" s="1"/>
  <c r="J156" i="1"/>
  <c r="K155" i="1"/>
  <c r="O155" i="1" s="1"/>
  <c r="J155" i="1"/>
  <c r="K154" i="1"/>
  <c r="O154" i="1" s="1"/>
  <c r="J154" i="1"/>
  <c r="K153" i="1"/>
  <c r="J153" i="1"/>
  <c r="K151" i="1"/>
  <c r="O151" i="1" s="1"/>
  <c r="J151" i="1"/>
  <c r="K150" i="1"/>
  <c r="O150" i="1" s="1"/>
  <c r="J150" i="1"/>
  <c r="K149" i="1"/>
  <c r="O149" i="1" s="1"/>
  <c r="J149" i="1"/>
  <c r="K148" i="1"/>
  <c r="O148" i="1" s="1"/>
  <c r="J148" i="1"/>
  <c r="K147" i="1"/>
  <c r="J147" i="1"/>
  <c r="K140" i="1"/>
  <c r="J140" i="1"/>
  <c r="J139" i="1" s="1"/>
  <c r="K135" i="1"/>
  <c r="O135" i="1" s="1"/>
  <c r="J135" i="1"/>
  <c r="K134" i="1"/>
  <c r="J134" i="1"/>
  <c r="H133" i="1"/>
  <c r="K132" i="1"/>
  <c r="J132" i="1"/>
  <c r="K131" i="1"/>
  <c r="O131" i="1" s="1"/>
  <c r="J131" i="1"/>
  <c r="K130" i="1"/>
  <c r="O130" i="1" s="1"/>
  <c r="J130" i="1"/>
  <c r="K129" i="1"/>
  <c r="J129" i="1"/>
  <c r="K127" i="1"/>
  <c r="J127" i="1"/>
  <c r="K125" i="1"/>
  <c r="J125" i="1"/>
  <c r="K123" i="1"/>
  <c r="K122" i="1" s="1"/>
  <c r="J123" i="1"/>
  <c r="J122" i="1" s="1"/>
  <c r="K121" i="1"/>
  <c r="K120" i="1" s="1"/>
  <c r="J121" i="1"/>
  <c r="J120" i="1" s="1"/>
  <c r="K119" i="1"/>
  <c r="O119" i="1" s="1"/>
  <c r="J119" i="1"/>
  <c r="K118" i="1"/>
  <c r="J118" i="1"/>
  <c r="K115" i="1"/>
  <c r="J115" i="1"/>
  <c r="J114" i="1" s="1"/>
  <c r="K113" i="1"/>
  <c r="O113" i="1" s="1"/>
  <c r="J113" i="1"/>
  <c r="K112" i="1"/>
  <c r="J112" i="1"/>
  <c r="K109" i="1"/>
  <c r="J109" i="1"/>
  <c r="M108" i="1"/>
  <c r="K108" i="1"/>
  <c r="O108" i="1" s="1"/>
  <c r="J108" i="1"/>
  <c r="M105" i="1"/>
  <c r="K105" i="1"/>
  <c r="O105" i="1" s="1"/>
  <c r="J105" i="1"/>
  <c r="K104" i="1"/>
  <c r="J104" i="1"/>
  <c r="K103" i="1"/>
  <c r="O103" i="1" s="1"/>
  <c r="J103" i="1"/>
  <c r="N103" i="1" s="1"/>
  <c r="K102" i="1"/>
  <c r="O102" i="1" s="1"/>
  <c r="J102" i="1"/>
  <c r="K101" i="1"/>
  <c r="J101" i="1"/>
  <c r="K98" i="1"/>
  <c r="J98" i="1"/>
  <c r="K95" i="1"/>
  <c r="J95" i="1"/>
  <c r="K94" i="1"/>
  <c r="J94" i="1"/>
  <c r="K93" i="1"/>
  <c r="J93" i="1"/>
  <c r="K88" i="1"/>
  <c r="K87" i="1" s="1"/>
  <c r="K86" i="1" s="1"/>
  <c r="J88" i="1"/>
  <c r="K85" i="1"/>
  <c r="O85" i="1" s="1"/>
  <c r="O84" i="1" s="1"/>
  <c r="O83" i="1" s="1"/>
  <c r="J85" i="1"/>
  <c r="J84" i="1" s="1"/>
  <c r="J83" i="1" s="1"/>
  <c r="K82" i="1"/>
  <c r="K81" i="1" s="1"/>
  <c r="J82" i="1"/>
  <c r="J81" i="1" s="1"/>
  <c r="K79" i="1"/>
  <c r="K78" i="1" s="1"/>
  <c r="K77" i="1" s="1"/>
  <c r="K76" i="1" s="1"/>
  <c r="J79" i="1"/>
  <c r="J78" i="1" s="1"/>
  <c r="J77" i="1" s="1"/>
  <c r="J76" i="1" s="1"/>
  <c r="O75" i="1"/>
  <c r="J75" i="1"/>
  <c r="O74" i="1"/>
  <c r="M74" i="1"/>
  <c r="J74" i="1"/>
  <c r="K73" i="1"/>
  <c r="K72" i="1" s="1"/>
  <c r="J73" i="1"/>
  <c r="M71" i="1"/>
  <c r="K71" i="1"/>
  <c r="J71" i="1"/>
  <c r="K70" i="1"/>
  <c r="J70" i="1"/>
  <c r="K67" i="1"/>
  <c r="J67" i="1"/>
  <c r="J66" i="1" s="1"/>
  <c r="K65" i="1"/>
  <c r="K64" i="1" s="1"/>
  <c r="J65" i="1"/>
  <c r="J64" i="1" s="1"/>
  <c r="K62" i="1"/>
  <c r="J62" i="1"/>
  <c r="J61" i="1" s="1"/>
  <c r="J60" i="1" s="1"/>
  <c r="K59" i="1"/>
  <c r="K58" i="1" s="1"/>
  <c r="J59" i="1"/>
  <c r="J58" i="1" s="1"/>
  <c r="K57" i="1"/>
  <c r="K56" i="1" s="1"/>
  <c r="J57" i="1"/>
  <c r="J56" i="1" s="1"/>
  <c r="O52" i="1"/>
  <c r="O51" i="1" s="1"/>
  <c r="J52" i="1"/>
  <c r="J51" i="1" s="1"/>
  <c r="K50" i="1"/>
  <c r="J50" i="1"/>
  <c r="J49" i="1" s="1"/>
  <c r="K48" i="1"/>
  <c r="K47" i="1" s="1"/>
  <c r="J48" i="1"/>
  <c r="J47" i="1" s="1"/>
  <c r="K45" i="1"/>
  <c r="O45" i="1" s="1"/>
  <c r="J45" i="1"/>
  <c r="K44" i="1"/>
  <c r="J44" i="1"/>
  <c r="K42" i="1"/>
  <c r="O42" i="1" s="1"/>
  <c r="J42" i="1"/>
  <c r="K41" i="1"/>
  <c r="J41" i="1"/>
  <c r="K39" i="1"/>
  <c r="K38" i="1" s="1"/>
  <c r="J39" i="1"/>
  <c r="J38" i="1" s="1"/>
  <c r="K36" i="1"/>
  <c r="K35" i="1" s="1"/>
  <c r="J36" i="1"/>
  <c r="J35" i="1" s="1"/>
  <c r="K34" i="1"/>
  <c r="J34" i="1"/>
  <c r="J33" i="1" s="1"/>
  <c r="K32" i="1"/>
  <c r="O32" i="1" s="1"/>
  <c r="J32" i="1"/>
  <c r="K31" i="1"/>
  <c r="J31" i="1"/>
  <c r="K29" i="1"/>
  <c r="O29" i="1" s="1"/>
  <c r="J29" i="1"/>
  <c r="K28" i="1"/>
  <c r="O28" i="1" s="1"/>
  <c r="J28" i="1"/>
  <c r="K27" i="1"/>
  <c r="J27" i="1"/>
  <c r="K25" i="1"/>
  <c r="O25" i="1" s="1"/>
  <c r="J25" i="1"/>
  <c r="K24" i="1"/>
  <c r="J24" i="1"/>
  <c r="M20" i="1"/>
  <c r="K20" i="1"/>
  <c r="O20" i="1" s="1"/>
  <c r="J20" i="1"/>
  <c r="K19" i="1"/>
  <c r="O19" i="1" s="1"/>
  <c r="J19" i="1"/>
  <c r="K18" i="1"/>
  <c r="J18" i="1"/>
  <c r="K17" i="1"/>
  <c r="O17" i="1" s="1"/>
  <c r="J17" i="1"/>
  <c r="K14" i="1"/>
  <c r="O14" i="1" s="1"/>
  <c r="J14" i="1"/>
  <c r="K13" i="1"/>
  <c r="O13" i="1" s="1"/>
  <c r="J13" i="1"/>
  <c r="K12" i="1"/>
  <c r="O12" i="1" s="1"/>
  <c r="J12" i="1"/>
  <c r="K11" i="1"/>
  <c r="O11" i="1" s="1"/>
  <c r="J11" i="1"/>
  <c r="K10" i="1"/>
  <c r="J10" i="1"/>
  <c r="J97" i="1" l="1"/>
  <c r="J96" i="1" s="1"/>
  <c r="J63" i="1"/>
  <c r="K146" i="1"/>
  <c r="K141" i="1" s="1"/>
  <c r="O189" i="1"/>
  <c r="O188" i="1" s="1"/>
  <c r="O185" i="1" s="1"/>
  <c r="K188" i="1"/>
  <c r="O98" i="1"/>
  <c r="O97" i="1" s="1"/>
  <c r="K96" i="1"/>
  <c r="K107" i="1"/>
  <c r="K106" i="1" s="1"/>
  <c r="H170" i="1"/>
  <c r="J30" i="1"/>
  <c r="J46" i="1"/>
  <c r="J55" i="1"/>
  <c r="K40" i="1"/>
  <c r="K43" i="1"/>
  <c r="K69" i="1"/>
  <c r="K68" i="1" s="1"/>
  <c r="K111" i="1"/>
  <c r="K23" i="1"/>
  <c r="J72" i="1"/>
  <c r="J69" i="1" s="1"/>
  <c r="J68" i="1" s="1"/>
  <c r="P43" i="1"/>
  <c r="O31" i="1"/>
  <c r="O30" i="1" s="1"/>
  <c r="K30" i="1"/>
  <c r="O34" i="1"/>
  <c r="O33" i="1" s="1"/>
  <c r="K33" i="1"/>
  <c r="O50" i="1"/>
  <c r="O49" i="1" s="1"/>
  <c r="K49" i="1"/>
  <c r="K46" i="1" s="1"/>
  <c r="K55" i="1"/>
  <c r="O62" i="1"/>
  <c r="O61" i="1" s="1"/>
  <c r="O60" i="1" s="1"/>
  <c r="K61" i="1"/>
  <c r="K60" i="1" s="1"/>
  <c r="O67" i="1"/>
  <c r="O66" i="1" s="1"/>
  <c r="K66" i="1"/>
  <c r="K63" i="1" s="1"/>
  <c r="P40" i="1"/>
  <c r="J40" i="1"/>
  <c r="J43" i="1"/>
  <c r="I80" i="1"/>
  <c r="J146" i="1"/>
  <c r="J141" i="1" s="1"/>
  <c r="J138" i="1" s="1"/>
  <c r="K186" i="1"/>
  <c r="K9" i="1"/>
  <c r="K8" i="1" s="1"/>
  <c r="K117" i="1"/>
  <c r="K116" i="1" s="1"/>
  <c r="K133" i="1"/>
  <c r="J185" i="1"/>
  <c r="P87" i="1"/>
  <c r="P84" i="1"/>
  <c r="P78" i="1"/>
  <c r="P33" i="1"/>
  <c r="K168" i="1"/>
  <c r="K167" i="1" s="1"/>
  <c r="K26" i="1"/>
  <c r="O93" i="1"/>
  <c r="K92" i="1"/>
  <c r="K91" i="1" s="1"/>
  <c r="O115" i="1"/>
  <c r="O114" i="1" s="1"/>
  <c r="K114" i="1"/>
  <c r="O140" i="1"/>
  <c r="O139" i="1" s="1"/>
  <c r="K139" i="1"/>
  <c r="O153" i="1"/>
  <c r="K152" i="1"/>
  <c r="K37" i="1"/>
  <c r="I185" i="1"/>
  <c r="H152" i="1"/>
  <c r="J162" i="1"/>
  <c r="O172" i="1"/>
  <c r="O171" i="1" s="1"/>
  <c r="K171" i="1"/>
  <c r="K170" i="1" s="1"/>
  <c r="I21" i="1"/>
  <c r="I90" i="1"/>
  <c r="I89" i="1" s="1"/>
  <c r="K124" i="1"/>
  <c r="K128" i="1"/>
  <c r="H139" i="1"/>
  <c r="O163" i="1"/>
  <c r="O162" i="1" s="1"/>
  <c r="K162" i="1"/>
  <c r="I8" i="1"/>
  <c r="K16" i="1"/>
  <c r="K15" i="1" s="1"/>
  <c r="I37" i="1"/>
  <c r="K84" i="1"/>
  <c r="K83" i="1" s="1"/>
  <c r="K80" i="1" s="1"/>
  <c r="J107" i="1"/>
  <c r="J106" i="1" s="1"/>
  <c r="J26" i="1"/>
  <c r="J171" i="1"/>
  <c r="J170" i="1" s="1"/>
  <c r="J152" i="1"/>
  <c r="J23" i="1"/>
  <c r="J92" i="1"/>
  <c r="J91" i="1" s="1"/>
  <c r="P30" i="1"/>
  <c r="J133" i="1"/>
  <c r="P16" i="1"/>
  <c r="J124" i="1"/>
  <c r="J128" i="1"/>
  <c r="P92" i="1"/>
  <c r="J9" i="1"/>
  <c r="J8" i="1" s="1"/>
  <c r="J111" i="1"/>
  <c r="J110" i="1" s="1"/>
  <c r="J117" i="1"/>
  <c r="J116" i="1" s="1"/>
  <c r="P9" i="1"/>
  <c r="J87" i="1"/>
  <c r="J86" i="1" s="1"/>
  <c r="J80" i="1" s="1"/>
  <c r="J16" i="1"/>
  <c r="J15" i="1" s="1"/>
  <c r="N94" i="1"/>
  <c r="N119" i="1"/>
  <c r="O94" i="1"/>
  <c r="N102" i="1"/>
  <c r="M102" i="1" s="1"/>
  <c r="O121" i="1"/>
  <c r="O120" i="1" s="1"/>
  <c r="N156" i="1"/>
  <c r="M156" i="1" s="1"/>
  <c r="N177" i="1"/>
  <c r="M177" i="1" s="1"/>
  <c r="N45" i="1"/>
  <c r="M45" i="1" s="1"/>
  <c r="N39" i="1"/>
  <c r="N38" i="1" s="1"/>
  <c r="O57" i="1"/>
  <c r="O56" i="1" s="1"/>
  <c r="N75" i="1"/>
  <c r="M75" i="1" s="1"/>
  <c r="N18" i="1"/>
  <c r="M18" i="1" s="1"/>
  <c r="O39" i="1"/>
  <c r="O38" i="1" s="1"/>
  <c r="N42" i="1"/>
  <c r="M42" i="1" s="1"/>
  <c r="O73" i="1"/>
  <c r="O72" i="1" s="1"/>
  <c r="O79" i="1"/>
  <c r="O78" i="1" s="1"/>
  <c r="O77" i="1" s="1"/>
  <c r="O76" i="1" s="1"/>
  <c r="O109" i="1"/>
  <c r="O107" i="1" s="1"/>
  <c r="O106" i="1" s="1"/>
  <c r="O175" i="1"/>
  <c r="O104" i="1"/>
  <c r="N148" i="1"/>
  <c r="O157" i="1"/>
  <c r="N130" i="1"/>
  <c r="M130" i="1" s="1"/>
  <c r="N19" i="1"/>
  <c r="M19" i="1" s="1"/>
  <c r="O123" i="1"/>
  <c r="O122" i="1" s="1"/>
  <c r="N135" i="1"/>
  <c r="N174" i="1"/>
  <c r="M174" i="1" s="1"/>
  <c r="O132" i="1"/>
  <c r="N164" i="1"/>
  <c r="M164" i="1" s="1"/>
  <c r="N172" i="1"/>
  <c r="O176" i="1"/>
  <c r="O10" i="1"/>
  <c r="O9" i="1" s="1"/>
  <c r="O8" i="1" s="1"/>
  <c r="O27" i="1"/>
  <c r="O26" i="1" s="1"/>
  <c r="O36" i="1"/>
  <c r="O35" i="1" s="1"/>
  <c r="O59" i="1"/>
  <c r="O58" i="1" s="1"/>
  <c r="N115" i="1"/>
  <c r="N114" i="1" s="1"/>
  <c r="O127" i="1"/>
  <c r="N140" i="1"/>
  <c r="N139" i="1" s="1"/>
  <c r="N158" i="1"/>
  <c r="M158" i="1" s="1"/>
  <c r="O181" i="1"/>
  <c r="O180" i="1" s="1"/>
  <c r="O18" i="1"/>
  <c r="O16" i="1" s="1"/>
  <c r="O15" i="1" s="1"/>
  <c r="O24" i="1"/>
  <c r="O23" i="1" s="1"/>
  <c r="O44" i="1"/>
  <c r="O43" i="1" s="1"/>
  <c r="O70" i="1"/>
  <c r="O118" i="1"/>
  <c r="O117" i="1" s="1"/>
  <c r="O116" i="1" s="1"/>
  <c r="O159" i="1"/>
  <c r="O65" i="1"/>
  <c r="O41" i="1"/>
  <c r="O40" i="1" s="1"/>
  <c r="O101" i="1"/>
  <c r="O129" i="1"/>
  <c r="O134" i="1"/>
  <c r="O133" i="1" s="1"/>
  <c r="N10" i="1"/>
  <c r="N34" i="1"/>
  <c r="N112" i="1"/>
  <c r="O147" i="1"/>
  <c r="O146" i="1" s="1"/>
  <c r="O141" i="1" s="1"/>
  <c r="O161" i="1"/>
  <c r="O160" i="1" s="1"/>
  <c r="N31" i="1"/>
  <c r="O48" i="1"/>
  <c r="O47" i="1" s="1"/>
  <c r="N82" i="1"/>
  <c r="N81" i="1" s="1"/>
  <c r="O95" i="1"/>
  <c r="O125" i="1"/>
  <c r="O82" i="1"/>
  <c r="O81" i="1" s="1"/>
  <c r="O88" i="1"/>
  <c r="O87" i="1" s="1"/>
  <c r="O86" i="1" s="1"/>
  <c r="N178" i="1"/>
  <c r="M178" i="1" s="1"/>
  <c r="O184" i="1"/>
  <c r="O183" i="1" s="1"/>
  <c r="O182" i="1" s="1"/>
  <c r="O112" i="1"/>
  <c r="O111" i="1" s="1"/>
  <c r="P21" i="1" l="1"/>
  <c r="J54" i="1"/>
  <c r="O96" i="1"/>
  <c r="O46" i="1"/>
  <c r="K110" i="1"/>
  <c r="K22" i="1"/>
  <c r="K21" i="1" s="1"/>
  <c r="K7" i="1" s="1"/>
  <c r="M96" i="1"/>
  <c r="H138" i="1"/>
  <c r="H90" i="1" s="1"/>
  <c r="H89" i="1" s="1"/>
  <c r="H53" i="1" s="1"/>
  <c r="O80" i="1"/>
  <c r="I53" i="1"/>
  <c r="O55" i="1"/>
  <c r="K193" i="1"/>
  <c r="O193" i="1" s="1"/>
  <c r="K185" i="1"/>
  <c r="O64" i="1"/>
  <c r="O63" i="1" s="1"/>
  <c r="O69" i="1"/>
  <c r="O68" i="1" s="1"/>
  <c r="K54" i="1"/>
  <c r="I7" i="1"/>
  <c r="O170" i="1"/>
  <c r="O152" i="1"/>
  <c r="O110" i="1"/>
  <c r="O22" i="1"/>
  <c r="O21" i="1" s="1"/>
  <c r="P96" i="1"/>
  <c r="P26" i="1"/>
  <c r="P91" i="1"/>
  <c r="P86" i="1"/>
  <c r="P83" i="1"/>
  <c r="P77" i="1"/>
  <c r="P37" i="1"/>
  <c r="P15" i="1"/>
  <c r="P8" i="1"/>
  <c r="J193" i="1"/>
  <c r="J37" i="1"/>
  <c r="O37" i="1"/>
  <c r="O124" i="1"/>
  <c r="J22" i="1"/>
  <c r="J21" i="1" s="1"/>
  <c r="K138" i="1"/>
  <c r="M148" i="1"/>
  <c r="O138" i="1"/>
  <c r="O92" i="1"/>
  <c r="O91" i="1" s="1"/>
  <c r="O128" i="1"/>
  <c r="J90" i="1"/>
  <c r="M10" i="1"/>
  <c r="N85" i="1"/>
  <c r="M82" i="1"/>
  <c r="M81" i="1" s="1"/>
  <c r="M34" i="1"/>
  <c r="M33" i="1" s="1"/>
  <c r="N33" i="1"/>
  <c r="M39" i="1"/>
  <c r="M38" i="1" s="1"/>
  <c r="N93" i="1"/>
  <c r="M31" i="1"/>
  <c r="M140" i="1"/>
  <c r="M139" i="1" s="1"/>
  <c r="M172" i="1"/>
  <c r="N98" i="1"/>
  <c r="N97" i="1" s="1"/>
  <c r="N189" i="1"/>
  <c r="N188" i="1" s="1"/>
  <c r="N150" i="1"/>
  <c r="M150" i="1" s="1"/>
  <c r="N29" i="1"/>
  <c r="M29" i="1" s="1"/>
  <c r="N131" i="1"/>
  <c r="M131" i="1" s="1"/>
  <c r="N157" i="1"/>
  <c r="M157" i="1" s="1"/>
  <c r="N179" i="1"/>
  <c r="M179" i="1" s="1"/>
  <c r="N155" i="1"/>
  <c r="M155" i="1" s="1"/>
  <c r="N154" i="1"/>
  <c r="N176" i="1"/>
  <c r="M176" i="1" s="1"/>
  <c r="N181" i="1"/>
  <c r="N180" i="1" s="1"/>
  <c r="N149" i="1"/>
  <c r="M149" i="1" s="1"/>
  <c r="N153" i="1"/>
  <c r="N17" i="1"/>
  <c r="N101" i="1"/>
  <c r="N44" i="1"/>
  <c r="N43" i="1" s="1"/>
  <c r="N88" i="1"/>
  <c r="N14" i="1"/>
  <c r="M14" i="1" s="1"/>
  <c r="N184" i="1"/>
  <c r="N183" i="1" s="1"/>
  <c r="N182" i="1" s="1"/>
  <c r="N109" i="1"/>
  <c r="N107" i="1" s="1"/>
  <c r="N106" i="1" s="1"/>
  <c r="N79" i="1"/>
  <c r="N25" i="1"/>
  <c r="N13" i="1"/>
  <c r="M13" i="1" s="1"/>
  <c r="N12" i="1"/>
  <c r="M12" i="1" s="1"/>
  <c r="N28" i="1"/>
  <c r="M28" i="1" s="1"/>
  <c r="N132" i="1"/>
  <c r="M132" i="1" s="1"/>
  <c r="N175" i="1"/>
  <c r="M175" i="1" s="1"/>
  <c r="N32" i="1"/>
  <c r="M32" i="1" s="1"/>
  <c r="N11" i="1"/>
  <c r="M11" i="1" s="1"/>
  <c r="N159" i="1"/>
  <c r="M159" i="1" s="1"/>
  <c r="N151" i="1"/>
  <c r="M151" i="1" s="1"/>
  <c r="N113" i="1"/>
  <c r="N111" i="1" s="1"/>
  <c r="N110" i="1" s="1"/>
  <c r="N95" i="1"/>
  <c r="M95" i="1" s="1"/>
  <c r="N127" i="1"/>
  <c r="N104" i="1"/>
  <c r="N123" i="1"/>
  <c r="N122" i="1" s="1"/>
  <c r="N134" i="1"/>
  <c r="N133" i="1" s="1"/>
  <c r="N125" i="1"/>
  <c r="N161" i="1"/>
  <c r="N160" i="1" s="1"/>
  <c r="N129" i="1"/>
  <c r="N193" i="1"/>
  <c r="M193" i="1" s="1"/>
  <c r="N24" i="1"/>
  <c r="N41" i="1"/>
  <c r="N40" i="1" s="1"/>
  <c r="N36" i="1"/>
  <c r="N35" i="1" s="1"/>
  <c r="N73" i="1"/>
  <c r="N72" i="1" s="1"/>
  <c r="N118" i="1"/>
  <c r="N117" i="1" s="1"/>
  <c r="N116" i="1" s="1"/>
  <c r="N173" i="1"/>
  <c r="M173" i="1" s="1"/>
  <c r="N121" i="1"/>
  <c r="N27" i="1"/>
  <c r="N169" i="1"/>
  <c r="N168" i="1" s="1"/>
  <c r="N167" i="1" s="1"/>
  <c r="N163" i="1"/>
  <c r="N162" i="1" s="1"/>
  <c r="N147" i="1"/>
  <c r="O7" i="1" l="1"/>
  <c r="K90" i="1"/>
  <c r="K89" i="1" s="1"/>
  <c r="K53" i="1" s="1"/>
  <c r="K6" i="1" s="1"/>
  <c r="K192" i="1" s="1"/>
  <c r="I6" i="1"/>
  <c r="I192" i="1" s="1"/>
  <c r="N96" i="1"/>
  <c r="P80" i="1"/>
  <c r="J89" i="1"/>
  <c r="J53" i="1" s="1"/>
  <c r="O54" i="1"/>
  <c r="M171" i="1"/>
  <c r="P72" i="1"/>
  <c r="J7" i="1"/>
  <c r="N171" i="1"/>
  <c r="N170" i="1" s="1"/>
  <c r="N146" i="1"/>
  <c r="N141" i="1" s="1"/>
  <c r="N138" i="1" s="1"/>
  <c r="P22" i="1"/>
  <c r="P76" i="1"/>
  <c r="N152" i="1"/>
  <c r="O90" i="1"/>
  <c r="O89" i="1" s="1"/>
  <c r="N128" i="1"/>
  <c r="M127" i="1"/>
  <c r="N124" i="1"/>
  <c r="M27" i="1"/>
  <c r="M26" i="1" s="1"/>
  <c r="N26" i="1"/>
  <c r="M88" i="1"/>
  <c r="M87" i="1" s="1"/>
  <c r="N87" i="1"/>
  <c r="M24" i="1"/>
  <c r="M23" i="1" s="1"/>
  <c r="N23" i="1"/>
  <c r="N92" i="1"/>
  <c r="N91" i="1" s="1"/>
  <c r="M147" i="1"/>
  <c r="M146" i="1" s="1"/>
  <c r="M141" i="1" s="1"/>
  <c r="M118" i="1"/>
  <c r="M117" i="1" s="1"/>
  <c r="M116" i="1" s="1"/>
  <c r="M184" i="1"/>
  <c r="M183" i="1" s="1"/>
  <c r="M182" i="1" s="1"/>
  <c r="M163" i="1"/>
  <c r="M162" i="1" s="1"/>
  <c r="M73" i="1"/>
  <c r="M72" i="1" s="1"/>
  <c r="M129" i="1"/>
  <c r="M128" i="1" s="1"/>
  <c r="M134" i="1"/>
  <c r="M133" i="1" s="1"/>
  <c r="M17" i="1"/>
  <c r="M16" i="1" s="1"/>
  <c r="M15" i="1" s="1"/>
  <c r="N16" i="1"/>
  <c r="N15" i="1" s="1"/>
  <c r="M181" i="1"/>
  <c r="M180" i="1" s="1"/>
  <c r="M93" i="1"/>
  <c r="M92" i="1" s="1"/>
  <c r="M91" i="1" s="1"/>
  <c r="M9" i="1"/>
  <c r="M8" i="1" s="1"/>
  <c r="N9" i="1"/>
  <c r="N8" i="1" s="1"/>
  <c r="M121" i="1"/>
  <c r="M120" i="1" s="1"/>
  <c r="N120" i="1"/>
  <c r="M36" i="1"/>
  <c r="M35" i="1" s="1"/>
  <c r="N30" i="1"/>
  <c r="M41" i="1"/>
  <c r="M40" i="1" s="1"/>
  <c r="M125" i="1"/>
  <c r="M161" i="1"/>
  <c r="M160" i="1" s="1"/>
  <c r="M109" i="1"/>
  <c r="M107" i="1" s="1"/>
  <c r="M106" i="1" s="1"/>
  <c r="M44" i="1"/>
  <c r="M43" i="1" s="1"/>
  <c r="M153" i="1"/>
  <c r="M152" i="1" s="1"/>
  <c r="M189" i="1"/>
  <c r="N185" i="1"/>
  <c r="M30" i="1"/>
  <c r="M85" i="1"/>
  <c r="M84" i="1" s="1"/>
  <c r="M83" i="1" s="1"/>
  <c r="N84" i="1"/>
  <c r="N83" i="1" s="1"/>
  <c r="M79" i="1"/>
  <c r="M78" i="1" s="1"/>
  <c r="M77" i="1" s="1"/>
  <c r="M76" i="1" s="1"/>
  <c r="N78" i="1"/>
  <c r="N77" i="1" s="1"/>
  <c r="N76" i="1" s="1"/>
  <c r="M123" i="1"/>
  <c r="M122" i="1" s="1"/>
  <c r="M188" i="1" l="1"/>
  <c r="M185" i="1" s="1"/>
  <c r="J6" i="1"/>
  <c r="J192" i="1" s="1"/>
  <c r="O53" i="1"/>
  <c r="O6" i="1" s="1"/>
  <c r="O192" i="1" s="1"/>
  <c r="M170" i="1"/>
  <c r="P90" i="1"/>
  <c r="N37" i="1"/>
  <c r="M37" i="1"/>
  <c r="M22" i="1"/>
  <c r="M21" i="1" s="1"/>
  <c r="M124" i="1"/>
  <c r="M138" i="1"/>
  <c r="N90" i="1"/>
  <c r="N89" i="1" s="1"/>
  <c r="N22" i="1"/>
  <c r="N21" i="1" s="1"/>
  <c r="M86" i="1"/>
  <c r="M80" i="1" s="1"/>
  <c r="N86" i="1"/>
  <c r="N80" i="1" s="1"/>
  <c r="P89" i="1" l="1"/>
  <c r="P53" i="1" s="1"/>
  <c r="P69" i="1"/>
  <c r="P68" i="1" s="1"/>
  <c r="N70" i="1"/>
  <c r="N69" i="1" s="1"/>
  <c r="N68" i="1" s="1"/>
  <c r="M90" i="1"/>
  <c r="M89" i="1" s="1"/>
  <c r="M70" i="1" l="1"/>
  <c r="M69" i="1" s="1"/>
  <c r="M68" i="1" s="1"/>
  <c r="N67" i="1"/>
  <c r="N66" i="1" s="1"/>
  <c r="M67" i="1" l="1"/>
  <c r="M66" i="1" s="1"/>
  <c r="P64" i="1" l="1"/>
  <c r="P63" i="1" s="1"/>
  <c r="N65" i="1"/>
  <c r="N64" i="1" s="1"/>
  <c r="N63" i="1" s="1"/>
  <c r="M65" i="1" l="1"/>
  <c r="N62" i="1"/>
  <c r="N61" i="1" s="1"/>
  <c r="N60" i="1" s="1"/>
  <c r="M64" i="1" l="1"/>
  <c r="M63" i="1" s="1"/>
  <c r="M62" i="1"/>
  <c r="M61" i="1" s="1"/>
  <c r="M60" i="1" s="1"/>
  <c r="N59" i="1" l="1"/>
  <c r="P58" i="1" l="1"/>
  <c r="M59" i="1"/>
  <c r="M58" i="1" s="1"/>
  <c r="N58" i="1"/>
  <c r="N57" i="1" l="1"/>
  <c r="M57" i="1" l="1"/>
  <c r="M56" i="1" s="1"/>
  <c r="M55" i="1" s="1"/>
  <c r="M54" i="1" s="1"/>
  <c r="M53" i="1" s="1"/>
  <c r="N56" i="1"/>
  <c r="N55" i="1" s="1"/>
  <c r="N54" i="1" s="1"/>
  <c r="N53" i="1" s="1"/>
  <c r="P56" i="1"/>
  <c r="P55" i="1" s="1"/>
  <c r="P54" i="1" s="1"/>
  <c r="P51" i="1"/>
  <c r="N52" i="1"/>
  <c r="N51" i="1" s="1"/>
  <c r="M52" i="1" l="1"/>
  <c r="M51" i="1" s="1"/>
  <c r="N50" i="1"/>
  <c r="N49" i="1" s="1"/>
  <c r="M50" i="1" l="1"/>
  <c r="M49" i="1" s="1"/>
  <c r="H47" i="1" l="1"/>
  <c r="P47" i="1"/>
  <c r="P46" i="1" s="1"/>
  <c r="N48" i="1"/>
  <c r="N47" i="1" s="1"/>
  <c r="N46" i="1" s="1"/>
  <c r="H46" i="1" l="1"/>
  <c r="H7" i="1" s="1"/>
  <c r="H6" i="1" s="1"/>
  <c r="H192" i="1" s="1"/>
  <c r="N7" i="1"/>
  <c r="N6" i="1" s="1"/>
  <c r="N192" i="1" s="1"/>
  <c r="M48" i="1"/>
  <c r="M47" i="1" l="1"/>
  <c r="M46" i="1" s="1"/>
  <c r="M7" i="1" s="1"/>
  <c r="M6" i="1" s="1"/>
  <c r="M192" i="1" s="1"/>
  <c r="P7" i="1" l="1"/>
  <c r="P6" i="1" l="1"/>
  <c r="P192" i="1" s="1"/>
</calcChain>
</file>

<file path=xl/sharedStrings.xml><?xml version="1.0" encoding="utf-8"?>
<sst xmlns="http://schemas.openxmlformats.org/spreadsheetml/2006/main" count="589" uniqueCount="373">
  <si>
    <t>НАИМЕНОВАНИЕ  ДОХОДА</t>
  </si>
  <si>
    <t>Бюджет</t>
  </si>
  <si>
    <t>КБК</t>
  </si>
  <si>
    <t>Код главы</t>
  </si>
  <si>
    <t>КЦСР</t>
  </si>
  <si>
    <t>КВР</t>
  </si>
  <si>
    <t>План по решению Думы № 357от  14.12.2020 (уточнённый)</t>
  </si>
  <si>
    <t>План на май</t>
  </si>
  <si>
    <t>Исполнено на 01.05.2021</t>
  </si>
  <si>
    <t>май</t>
  </si>
  <si>
    <t>% исполнения</t>
  </si>
  <si>
    <t>% исполнения к месячному плану</t>
  </si>
  <si>
    <t>НАЛОГОВЫЕ И НЕНАЛОГОВЫЕ ДОХОДЫ</t>
  </si>
  <si>
    <t>000 1 00 00000 00 0000 000</t>
  </si>
  <si>
    <t>НАЛОГОВЫЕ ДОХОДЫ</t>
  </si>
  <si>
    <t>НАЛОГИ НА ПРИБЫЛЬ, ДОХОДЫ</t>
  </si>
  <si>
    <t>182 1 01 00000 00 0000 000</t>
  </si>
  <si>
    <t>Налог на доходы физических лиц</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</si>
  <si>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</si>
  <si>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227¹ и 228 Налогового кодекса Российской Федерации</t>
  </si>
  <si>
    <t>М/Б</t>
  </si>
  <si>
    <t>182 1 01 02010 01 0000 110</t>
  </si>
  <si>
    <t>182</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</si>
  <si>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</si>
  <si>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</si>
  <si>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</si>
  <si>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</si>
  <si>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</si>
  <si>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</si>
  <si>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</si>
  <si>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182 1 01 02080 01 0000 110</t>
  </si>
  <si>
    <t>НАЛОГИ НА ТОВАРЫ (РАБОТЫ, УСЛУГИ), РЕАЛИЗУЕМЫЕ НА ТЕРРИТОРИИ РОССИЙСКОЙ ФЕДЕРАЦИИ</t>
  </si>
  <si>
    <t>100 1 03 00000 00 0000 000</t>
  </si>
  <si>
    <t>Акцизы по подакцизным товарам (продукции), производимым на территории Российской Федерации</t>
  </si>
  <si>
    <t>100 1 03 02000 01 0000 110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</si>
  <si>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</si>
  <si>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100 1 03 02231 01 0000 110</t>
  </si>
  <si>
    <t>100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</si>
  <si>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</si>
  <si>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</si>
  <si>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</si>
  <si>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</si>
  <si>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</si>
  <si>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100 1 03 02261 01 0000 110</t>
  </si>
  <si>
    <t>НАЛОГИ НА СОВОКУПНЫЙ ДОХОД</t>
  </si>
  <si>
    <t>182 1 05 00000 00 0000 000</t>
  </si>
  <si>
    <t>Налог, взимаемый в связи с применением упрощенной системы налогообложения</t>
  </si>
  <si>
    <t>182 1 05 01000 00 0000 110</t>
  </si>
  <si>
    <t>Налог, взимаемый с налогоплательщиков, выбравших в качестве объекта налогообложения доходы</t>
  </si>
  <si>
    <t>182 1 05 01010 01 0000 110</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</si>
  <si>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</si>
  <si>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</si>
  <si>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</si>
  <si>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t>
  </si>
  <si>
    <t>182 1 05 01020 01 0000 110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</si>
  <si>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</si>
  <si>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</si>
  <si>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</si>
  <si>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</si>
  <si>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</si>
  <si>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</si>
  <si>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t>
  </si>
  <si>
    <t>182 1 05 02000 02 0000 110</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</si>
  <si>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</si>
  <si>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</si>
  <si>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</si>
  <si>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t>
  </si>
  <si>
    <t>182 1 05 03000 01 0000 110</t>
  </si>
  <si>
    <t>182 1 05 03010 01 1000 110</t>
  </si>
  <si>
    <t>Налог, взимаемый в связи с применением патентной системы налогообложения</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</si>
  <si>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</si>
  <si>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</si>
  <si>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</si>
  <si>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НАЛОГИ НА ИМУЩЕСТВО</t>
  </si>
  <si>
    <t>182 1 06 00000 00 0000 000</t>
  </si>
  <si>
    <t>Налог на имущество физических лиц</t>
  </si>
  <si>
    <t>182 1 06 01000 00 0000 110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</si>
  <si>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</si>
  <si>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</si>
  <si>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Транспортный налог</t>
  </si>
  <si>
    <t>182 1 06 04000 00 0000 000</t>
  </si>
  <si>
    <t>Транспортный налог с организаций</t>
  </si>
  <si>
    <t xml:space="preserve">182 1 06 04011 02 0000 110 </t>
  </si>
  <si>
    <t>Транспортный налог с физических лиц</t>
  </si>
  <si>
    <t>182 1 06 04012 02 0000 110</t>
  </si>
  <si>
    <t>Земельный налог</t>
  </si>
  <si>
    <t>182 1 06 06000 00 0000 110</t>
  </si>
  <si>
    <t>Земельный налог с организаций,обладающих земельным участком, расположенным в границах городских округов</t>
  </si>
  <si>
    <t xml:space="preserve">182 1 06 06032 04 0000 110 </t>
  </si>
  <si>
    <t>Земельный налог с физических лиц,обладающих земельным участком, расположенным в границах городских округов</t>
  </si>
  <si>
    <t>182 1 06 06042 04 0000 110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</si>
  <si>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</si>
  <si>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</si>
  <si>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</si>
  <si>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</si>
  <si>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</si>
  <si>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</si>
  <si>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</si>
  <si>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040 1 08 07170 01 0000 110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</si>
  <si>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</si>
  <si>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040 1 08 07173 01 0000 110</t>
  </si>
  <si>
    <t>040</t>
  </si>
  <si>
    <t>Государственная пошлина за выдачу разрешения на установку рекламной конструкции</t>
  </si>
  <si>
    <t>040 1 08 07150 01 0000 110</t>
  </si>
  <si>
    <t>НЕНАЛОГОВЫЕ ДОХОДЫ</t>
  </si>
  <si>
    <t>ДОХОДЫ ОТ ИСПОЛЬЗОВАНИЯ ИМУЩЕСТВА, НАХОДЯЩЕГОСЯ В ГОСУДАРСТВЕННОЙ И МУНИЦИПАЛЬНОЙ СОБСТВЕННОСТИ</t>
  </si>
  <si>
    <t>040 1 11 00000 00 0000 000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</si>
  <si>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</si>
  <si>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</si>
  <si>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</si>
  <si>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040 1 11 05010 00 0000 120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</si>
  <si>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</si>
  <si>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040 1 11 05012 04 0000 120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</si>
  <si>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</si>
  <si>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040 1 11 05030 00 0000 120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</si>
  <si>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</si>
  <si>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040 1 11 05034 04 0000 120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</si>
  <si>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</si>
  <si>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040 1 11 07000 00 0000 120</t>
  </si>
  <si>
    <t>040 1 11 07010 04 0000 120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</si>
  <si>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</si>
  <si>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040 1 11 07014 04 0000 120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</si>
  <si>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</si>
  <si>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</si>
  <si>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</si>
  <si>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040 1 11 09040 00 0000 120 </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</si>
  <si>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</si>
  <si>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040 1 11 09044 04 0000 120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</si>
  <si>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</si>
  <si>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040 1 11 09080 04 0000 120</t>
  </si>
  <si>
    <t>ПЛАТЕЖИ ПРИ ПОЛЬЗОВАНИИ ПРИРОДНЫМИ РЕСУРСАМИ</t>
  </si>
  <si>
    <t>048 1 12 0000 00 00000 000</t>
  </si>
  <si>
    <t>Плата за негативное воздействие на окружающую среду</t>
  </si>
  <si>
    <t>048 1 12 01000 01 0000 120</t>
  </si>
  <si>
    <t>Плата за выбросы загрязняющих веществ в атмосферный воздух стационарными объектами</t>
  </si>
  <si>
    <t>048 1 12 01010 01 0000 120</t>
  </si>
  <si>
    <t>048</t>
  </si>
  <si>
    <t>Плата за сбросы загрязняющих веществ в водные объекты</t>
  </si>
  <si>
    <t>048 1 12 01030 01 0000 120</t>
  </si>
  <si>
    <t>Плата за размещение отходов производства</t>
  </si>
  <si>
    <t>048 1 12 01040 01 0000 120</t>
  </si>
  <si>
    <t>048 1 12 01041 01 0000 120</t>
  </si>
  <si>
    <t>Плата за размещение твердых коммунальных отходов</t>
  </si>
  <si>
    <t>048 1 12 01042 01 0000 120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</si>
  <si>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</si>
  <si>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048 1 12 01070 01 0000 120</t>
  </si>
  <si>
    <t>ДОХОДЫ ОТ ОКАЗАНИЯ ПЛАТНЫХ УСЛУГ И КОМПЕНСАЦИИ ЗАТРАТ ГОСУДАРСТВА</t>
  </si>
  <si>
    <t>040 1 13 00000 00 0000 130</t>
  </si>
  <si>
    <t>Доходы от компенсации затрат государства</t>
  </si>
  <si>
    <t>040 1 13 02000 00 0000 130</t>
  </si>
  <si>
    <t>Прочие доходы от компенсации затрат государства</t>
  </si>
  <si>
    <t>040 1 13 02990 00 0000 130</t>
  </si>
  <si>
    <t>Прочие доходы от компенсации затрат бюджетов городских округов</t>
  </si>
  <si>
    <t>040 1 13 02994 04 0000 130</t>
  </si>
  <si>
    <t>ДОХОДЫ ОТ ПРОДАЖИ МАТЕРИАЛЬНЫХ И НЕМАТЕРИАЛЬНЫХ АКТИВОВ</t>
  </si>
  <si>
    <t>040 1 14 00000 00 0000 000</t>
  </si>
  <si>
    <t xml:space="preserve">Доходы от продажи квартир </t>
  </si>
  <si>
    <t>040 1 14 01000 00 0000 410</t>
  </si>
  <si>
    <t xml:space="preserve">Доходы от продажи квартир, находящихся в собственности городских округов </t>
  </si>
  <si>
    <t>040 1 14 01040 04 0000 410</t>
  </si>
  <si>
    <t>Доходы от реализации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</si>
  <si>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040 1 14 02000 00 0000 000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</si>
  <si>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</si>
  <si>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040 1 14 02040 04 0000 410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</si>
  <si>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</si>
  <si>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040 1 14 02043 04 0000 410</t>
  </si>
  <si>
    <t>Доходы от продажи земельных участков, находящихся в государственной и муниципальной собственности (за исключением земельных участков бюджетных и автономных учреждений)</t>
  </si>
  <si>
    <t>040 1 14 06000 00 0000 430</t>
  </si>
  <si>
    <t>Доходы от продажи земельных участков, государственная собственность на которые не разграничена</t>
  </si>
  <si>
    <t>040 1 14 06010 00 0000 430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</si>
  <si>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</si>
  <si>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040 1 14 06012 04 0000 430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</si>
  <si>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</si>
  <si>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</si>
  <si>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</si>
  <si>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</si>
  <si>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</si>
  <si>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</si>
  <si>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</si>
  <si>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690 1 16 01053 01 0035 140</t>
  </si>
  <si>
    <t>690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</si>
  <si>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обращения граждан)</t>
  </si>
  <si>
    <t>690 1 16 01053 01 0059 140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</si>
  <si>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</si>
  <si>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690 116 01053 01 9000 140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</si>
  <si>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</si>
  <si>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</si>
  <si>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</si>
  <si>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</si>
  <si>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</si>
  <si>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690 1 16 01063 01 0101 140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</si>
  <si>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</si>
  <si>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690 1 16 01063 01 0091 140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</si>
  <si>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потребление, хранение, перевозка растений, содержащих наркотические средства или психотропные вещества, либо их частей, содержащихся  наркотические средства или психотропные вещества)</t>
  </si>
  <si>
    <t>690 1 16 01063 01 0008 140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</si>
  <si>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</si>
  <si>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690 1 16 01063 01 0009 140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</si>
  <si>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законодательство Российской Федерации о защите детей  от информации причиняющей вред их здоровью и (или) развитию)</t>
  </si>
  <si>
    <t>690 1 16 01063 01 0017 140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</si>
  <si>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</si>
  <si>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690 1 16 01063 01 9000 140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</si>
  <si>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</si>
  <si>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</si>
  <si>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</si>
  <si>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</si>
  <si>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</si>
  <si>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690 1 16 01073 01 0017 140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</si>
  <si>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</si>
  <si>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690 1 16 01073 01 0027 140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</si>
  <si>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</si>
  <si>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</si>
  <si>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</si>
  <si>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000 1 16 01082 01 0000 140</t>
  </si>
  <si>
    <t>530 1 16 01082 01 0037 140</t>
  </si>
  <si>
    <t>530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</si>
  <si>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</si>
  <si>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530 1 16 01082 01 9000 140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</si>
  <si>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</si>
  <si>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</si>
  <si>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учёте древесины и сделок с ней)</t>
  </si>
  <si>
    <t>690 1 16 01083 01 0281 140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</si>
  <si>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</si>
  <si>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</si>
  <si>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000 1 16 01092 01 0000 140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</si>
  <si>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правил или норм эксплуатации тракторов, самоходных, дорожно-строительных и иных машин и оборудования)</t>
  </si>
  <si>
    <t>170 1 16 01092 01 0003 140</t>
  </si>
  <si>
    <t>170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</si>
  <si>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требований режима чрезвычайного положения)</t>
  </si>
  <si>
    <t>420 1 16 01092 01 0005 140</t>
  </si>
  <si>
    <t>420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</si>
  <si>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</si>
  <si>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</si>
  <si>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</si>
  <si>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690 1 16 01113 01 9000 140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</si>
  <si>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</si>
  <si>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</si>
  <si>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</si>
  <si>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690 1 16 01133 01 9000 140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</si>
  <si>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</si>
  <si>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</si>
  <si>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</si>
  <si>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420 1 16 01142 01 9000 140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</si>
  <si>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продажи  этилового спирта, алкогольной и спиртосодержащей  продукции)</t>
  </si>
  <si>
    <t>690 1 16 01143 01 0016 140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</si>
  <si>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</si>
  <si>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</si>
  <si>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за производство или продажу товаров и продукции, в отношении которых установлены требования по маркировке и (или) информацииа также с нарушением установленного порядка нанесения такой маркировки и (или) информации)</t>
  </si>
  <si>
    <t>690 1 16 01153 01 0012 140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</si>
  <si>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</si>
  <si>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690 1 16 01153 01 9000 140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</si>
  <si>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(расчёта по страховым взносам))</t>
  </si>
  <si>
    <t>690 1 16 01153 01 0005 140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</si>
  <si>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(несообщение)сведений, необходимых для осуществления налогового контроля)</t>
  </si>
  <si>
    <t>690 1 16 01153 01 0006 140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</si>
  <si>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</si>
  <si>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</si>
  <si>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нарушении)</t>
  </si>
  <si>
    <t>690 1 16 01173 01 0007 140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</si>
  <si>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</si>
  <si>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690 1 16 01173 01 9000 140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</si>
  <si>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</si>
  <si>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690 1 16 01180 01 0000 140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</si>
  <si>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</si>
  <si>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690 1 16 01183 01 0000 140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</si>
  <si>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</si>
  <si>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</si>
  <si>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</si>
  <si>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000 1 16 01192 01 0000 140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</si>
  <si>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государственной регистрации транспортных средств всех видов, механизмов и установок)</t>
  </si>
  <si>
    <t>170 1 16 01192 01 0022 140</t>
  </si>
  <si>
    <t>000 1 16 01193 01 0000 140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</si>
  <si>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подписания (постановления, представления, решения)  органа (должностного лица) осуществляющего государственный надзор (контроль) организации , уполномочины в соотвествие с федеральными законами  на осуществление государственного надзора (должностного лица), органа (должностного лица) , осуществляющего муниципальный контроль</t>
  </si>
  <si>
    <t>690 1 16 01193 01 0005 140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</si>
  <si>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</si>
  <si>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690 1 16 01193 01 0020 140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</si>
  <si>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</si>
  <si>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690 1 16 01193 01 0029 140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</si>
  <si>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</si>
  <si>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690 1 16 01193 01 0030 140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</si>
  <si>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</si>
  <si>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690 1 16 01193 01 9000 140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</si>
  <si>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</si>
  <si>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</si>
  <si>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</si>
  <si>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420 1 16 01203 01 9000 140</t>
  </si>
  <si>
    <t>530 1 16 01203 01 9000 140</t>
  </si>
  <si>
    <t>580 1 16 01203 01 9000 140</t>
  </si>
  <si>
    <t>580</t>
  </si>
  <si>
    <t>690 1 16 01203 01 9000 140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</si>
  <si>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режима чрезвычайного положения)</t>
  </si>
  <si>
    <t>690 1 16 01203 01 0005 140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</si>
  <si>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учёта оружия и патронов к нему, а также нарушение правил производства, продажи, хранения, уничтожения или учёта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или медицинских заключений об отсутствии противопоказаний к владению оружием)</t>
  </si>
  <si>
    <t>690 1 16 01203 01 0008 140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</si>
  <si>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</si>
  <si>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690 1 16 01203 01 0021 140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</si>
  <si>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</si>
  <si>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000 1 16 02010 02 0000 140</t>
  </si>
  <si>
    <t>580 1 16 02010 02 0000 140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</si>
  <si>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</si>
  <si>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</si>
  <si>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</si>
  <si>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040 1 16 07010 04 0000 140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</si>
  <si>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</si>
  <si>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040 1 16 07090 04 0000 140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</si>
  <si>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</si>
  <si>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</si>
  <si>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000 1 16 10081 00 0000 140</t>
  </si>
  <si>
    <t>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</si>
  <si>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040 1 16 10081 04 0000 140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</si>
  <si>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действующим до 1 января 2020 года</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</si>
  <si>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</si>
  <si>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t>
  </si>
  <si>
    <t>000 1 16 10123 01 0041 140</t>
  </si>
  <si>
    <t>040 1 16 10123  01 0041 140</t>
  </si>
  <si>
    <t>048 1 16 10123 01 0041 140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</si>
  <si>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учёте задолженности)</t>
  </si>
  <si>
    <t>141 1 16 10123 01 0041 140</t>
  </si>
  <si>
    <t>141</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</si>
  <si>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 (штрафы за нарушение правил государственной регистрации транспортных средств всех видов, механизмов и установок)</t>
  </si>
  <si>
    <t>170 1 16 10123 01 0041 140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</si>
  <si>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</si>
  <si>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180 1 16 10123 01 0041 140</t>
  </si>
  <si>
    <t>180</t>
  </si>
  <si>
    <t>188 1 16 10123 01 0041 140</t>
  </si>
  <si>
    <t>188</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</si>
  <si>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</si>
  <si>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321 1 16 10123 01 0041 140</t>
  </si>
  <si>
    <t>321</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</si>
  <si>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</si>
  <si>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322 1 16 10123 01 0041 140</t>
  </si>
  <si>
    <t>322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</si>
  <si>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до 1 января 2020 года</t>
  </si>
  <si>
    <t>182 1 16 10129 01 0000 140</t>
  </si>
  <si>
    <t>Платежи, уплачиваемые в целях возмещения вреда, причиняемого автомобильным дорогам</t>
  </si>
  <si>
    <t>000 1 16 11060 01 0000 140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</si>
  <si>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</si>
  <si>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000 1 16 11064 01 0000 140</t>
  </si>
  <si>
    <t>040 1 16 11064 01 0000 140</t>
  </si>
  <si>
    <t>ПРОЧИЕ НЕНАЛОГОВЫЕ ДОХОДЫ</t>
  </si>
  <si>
    <t>000 1 17 00000 00 0000 000</t>
  </si>
  <si>
    <t>Невыясненные поступления</t>
  </si>
  <si>
    <t xml:space="preserve">040 1 17 01000 00 0000 180 </t>
  </si>
  <si>
    <t>Невыясненные поступления, зачисляемые в бюджеты городских округов</t>
  </si>
  <si>
    <t>040 1 17 01040 04 0000 180</t>
  </si>
  <si>
    <t>Прочие неналоговые доходы</t>
  </si>
  <si>
    <t>000 1 17 05000 00 0000 180</t>
  </si>
  <si>
    <t>Прочие неналоговые доходы бюджетов городских округов</t>
  </si>
  <si>
    <t>040 1 17 05040 04 0000 180</t>
  </si>
  <si>
    <t xml:space="preserve">ВСЕГО ДОХОДОВ </t>
  </si>
  <si>
    <t>Допнорматив 43,20</t>
  </si>
  <si>
    <t>Ожидаемое на 31.12.2021</t>
  </si>
  <si>
    <t>690 1 16 01143 01 9000 140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</si>
  <si>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</si>
  <si>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комссиями по делам несовершеннолетних и защите их прав (штрафы за невыполнение в срок законного подписания (постановления, представления, решения) органа (должностного лица) осуществляющего государственный надзор (контроль) организации, уполномочины в соответствие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</si>
  <si>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600 1 16 01193 01 0005 140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</si>
  <si>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комссиями по делам несовершеннолетних и защите их прав</t>
  </si>
  <si>
    <t>Инициативные платежи, зачисляемые в бюджеты городских округов (проект "Топиарный парк "НОЕВ КОВЧЕГ" второй этап)</t>
  </si>
  <si>
    <t xml:space="preserve">Инициативные платежи, зачисляемые в бюджеты городских округов </t>
  </si>
  <si>
    <t xml:space="preserve">Ожидаемое исполнение  доходной части бюджета муниципального образования городской округ Пыть-Ях за 2021 год </t>
  </si>
  <si>
    <r>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t>
    </r>
    <r>
      <rPr>
        <sz val="10"/>
        <color indexed="8"/>
        <rFont val="Times New Roman"/>
        <family val="1"/>
        <charset val="204"/>
      </rPr>
      <t>штрафы за нарушение правил охоты, правил, регламентирующих рыболовство и другие виды пользования объектами животного мира)</t>
    </r>
  </si>
  <si>
    <t>040 1 17 15040 04 0000 180</t>
  </si>
  <si>
    <t>040 1 17 15040 04 0001 180</t>
  </si>
  <si>
    <t>000 1 16 01000 01 0000 140</t>
  </si>
  <si>
    <t>000 1 16 01050 01 0000 140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</si>
  <si>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</si>
  <si>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000 1 16 01090 01 0000 140</t>
  </si>
  <si>
    <t>410 1 16 01193 01 0030 140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</si>
  <si>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</si>
  <si>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040 1 16 10030 04 0000 140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</si>
  <si>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</si>
  <si>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040 1 16 10032 04 0000 140</t>
  </si>
  <si>
    <t>Исполнено</t>
  </si>
  <si>
    <t>Приложение 1 к пояснительной записке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</si>
</sst>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
  </numFmts>
  <fonts count="10" x14ac:knownFonts="1">
    <font>
      <sz val="10"/>
      <name val="Arial Cyr"/>
      <charset val="204"/>
    </font>
    <font>
      <sz val="10"/>
      <name val="Arial"/>
      <family val="2"/>
      <charset val="204"/>
    </font>
    <font>
      <sz val="10"/>
      <name val="Arial Cyr"/>
      <charset val="204"/>
    </font>
    <font>
      <sz val="10"/>
      <name val="Times New Roman"/>
      <family val="1"/>
      <charset val="204"/>
    </font>
    <font>
      <b/>
      <sz val="10"/>
      <name val="Times New Roman"/>
      <family val="1"/>
      <charset val="204"/>
    </font>
    <font>
      <i/>
      <sz val="10"/>
      <name val="Times New Roman"/>
      <family val="1"/>
      <charset val="204"/>
    </font>
    <font>
      <b/>
      <i/>
      <sz val="10"/>
      <name val="Times New Roman"/>
      <family val="1"/>
      <charset val="204"/>
    </font>
    <font>
      <sz val="10"/>
      <color indexed="8"/>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s>
  <cellStyleXfs count="5">
    <xf numFmtId="0" fontId="0" fillId="0" borderId="0"/>
    <xf numFmtId="43" fontId="2" fillId="0" borderId="0" applyFont="0" applyFill="0" applyBorder="0" applyAlignment="0" applyProtection="0"/>
    <xf numFmtId="0" fontId="1" fillId="0" borderId="0"/>
    <xf numFmtId="0" fontId="3" fillId="0" borderId="0"/>
    <xf numFmtId="0" fontId="1" fillId="0" borderId="0"/>
  </cellStyleXfs>
  <cellXfs count="69">
    <xf numFmtId="0" fontId="0" fillId="0" borderId="0" xfId="0"/>
    <xf numFmtId="0" fontId="3" fillId="0" borderId="0" xfId="2" applyFont="1" applyFill="1"/>
    <xf numFmtId="0" fontId="4" fillId="0" borderId="0" xfId="2" applyFont="1" applyFill="1" applyAlignment="1">
      <alignment horizontal="center"/>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4" fontId="4" fillId="0" borderId="1" xfId="2" applyNumberFormat="1" applyFont="1" applyFill="1" applyBorder="1" applyAlignment="1">
      <alignment horizontal="center" vertical="center" wrapText="1"/>
    </xf>
    <xf numFmtId="0" fontId="3" fillId="0" borderId="1" xfId="2" applyFont="1" applyFill="1" applyBorder="1"/>
    <xf numFmtId="0" fontId="4" fillId="0" borderId="1" xfId="0" applyFont="1" applyFill="1" applyBorder="1" applyAlignment="1">
      <alignment horizontal="left"/>
    </xf>
    <xf numFmtId="0" fontId="4" fillId="0" borderId="1" xfId="0" applyFont="1" applyFill="1" applyBorder="1" applyAlignment="1">
      <alignment horizontal="center"/>
    </xf>
    <xf numFmtId="49" fontId="4" fillId="0" borderId="1" xfId="2" applyNumberFormat="1" applyFont="1" applyFill="1" applyBorder="1" applyAlignment="1" applyProtection="1">
      <alignment horizontal="center" wrapText="1"/>
      <protection hidden="1"/>
    </xf>
    <xf numFmtId="4" fontId="4" fillId="0" borderId="1" xfId="2" applyNumberFormat="1" applyFont="1" applyFill="1" applyBorder="1" applyAlignment="1">
      <alignment horizontal="right"/>
    </xf>
    <xf numFmtId="4" fontId="4" fillId="0" borderId="1" xfId="1" applyNumberFormat="1" applyFont="1" applyFill="1" applyBorder="1" applyAlignment="1" applyProtection="1">
      <alignment horizontal="right" wrapText="1"/>
      <protection hidden="1"/>
    </xf>
    <xf numFmtId="0" fontId="4" fillId="0" borderId="1" xfId="2" applyNumberFormat="1" applyFont="1" applyFill="1" applyBorder="1" applyAlignment="1" applyProtection="1">
      <alignment horizontal="left" wrapText="1"/>
      <protection hidden="1"/>
    </xf>
    <xf numFmtId="0" fontId="4" fillId="0" borderId="1" xfId="2" applyNumberFormat="1" applyFont="1" applyFill="1" applyBorder="1" applyAlignment="1" applyProtection="1">
      <alignment horizontal="center" wrapText="1"/>
      <protection hidden="1"/>
    </xf>
    <xf numFmtId="0" fontId="3" fillId="0" borderId="1" xfId="2" applyNumberFormat="1" applyFont="1" applyFill="1" applyBorder="1" applyAlignment="1" applyProtection="1">
      <alignment horizontal="left" wrapText="1"/>
      <protection hidden="1"/>
    </xf>
    <xf numFmtId="0" fontId="3" fillId="0" borderId="1" xfId="2" applyNumberFormat="1" applyFont="1" applyFill="1" applyBorder="1" applyAlignment="1" applyProtection="1">
      <alignment horizontal="center" wrapText="1"/>
      <protection hidden="1"/>
    </xf>
    <xf numFmtId="49" fontId="3" fillId="0" borderId="1" xfId="2" applyNumberFormat="1" applyFont="1" applyFill="1" applyBorder="1" applyAlignment="1" applyProtection="1">
      <alignment horizontal="center" wrapText="1"/>
      <protection hidden="1"/>
    </xf>
    <xf numFmtId="4" fontId="3" fillId="0" borderId="1" xfId="2" applyNumberFormat="1" applyFont="1" applyFill="1" applyBorder="1" applyAlignment="1">
      <alignment horizontal="right"/>
    </xf>
    <xf numFmtId="4" fontId="3" fillId="0" borderId="1" xfId="2" applyNumberFormat="1" applyFont="1" applyFill="1" applyBorder="1"/>
    <xf numFmtId="4" fontId="3" fillId="0" borderId="1" xfId="2" applyNumberFormat="1" applyFont="1" applyFill="1" applyBorder="1" applyAlignment="1">
      <alignment horizontal="center" wrapText="1"/>
    </xf>
    <xf numFmtId="164" fontId="3" fillId="0" borderId="1" xfId="2" applyNumberFormat="1" applyFont="1" applyFill="1" applyBorder="1"/>
    <xf numFmtId="4" fontId="3" fillId="0" borderId="1" xfId="2" applyNumberFormat="1" applyFont="1" applyFill="1" applyBorder="1" applyAlignment="1">
      <alignment horizontal="right" wrapText="1"/>
    </xf>
    <xf numFmtId="0" fontId="3" fillId="0" borderId="0" xfId="2" applyFont="1" applyFill="1" applyAlignment="1"/>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5" fillId="0" borderId="0" xfId="2" applyFont="1" applyFill="1"/>
    <xf numFmtId="0" fontId="3" fillId="0" borderId="1" xfId="0" applyFont="1" applyFill="1" applyBorder="1"/>
    <xf numFmtId="0" fontId="3" fillId="0" borderId="1" xfId="0" applyFont="1" applyFill="1" applyBorder="1" applyAlignment="1">
      <alignment horizontal="center"/>
    </xf>
    <xf numFmtId="0" fontId="3" fillId="0" borderId="1" xfId="0" applyFont="1" applyFill="1" applyBorder="1" applyAlignment="1">
      <alignment horizontal="left" wrapText="1"/>
    </xf>
    <xf numFmtId="0" fontId="3" fillId="0" borderId="1" xfId="3" applyNumberFormat="1" applyFont="1" applyFill="1" applyBorder="1" applyAlignment="1" applyProtection="1">
      <alignment horizontal="left" wrapText="1"/>
      <protection hidden="1"/>
    </xf>
    <xf numFmtId="0" fontId="3" fillId="0" borderId="1" xfId="3" applyNumberFormat="1" applyFont="1" applyFill="1" applyBorder="1" applyAlignment="1" applyProtection="1">
      <alignment horizontal="center" wrapText="1"/>
      <protection hidden="1"/>
    </xf>
    <xf numFmtId="4" fontId="3" fillId="0" borderId="1" xfId="2" applyNumberFormat="1" applyFont="1" applyFill="1" applyBorder="1" applyAlignment="1">
      <alignment wrapText="1"/>
    </xf>
    <xf numFmtId="4" fontId="3" fillId="0" borderId="1" xfId="1" applyNumberFormat="1" applyFont="1" applyFill="1" applyBorder="1" applyAlignment="1" applyProtection="1">
      <alignment horizontal="right" wrapText="1"/>
      <protection hidden="1"/>
    </xf>
    <xf numFmtId="0" fontId="6" fillId="0" borderId="1" xfId="2" applyFont="1" applyFill="1" applyBorder="1" applyAlignment="1">
      <alignment horizontal="center"/>
    </xf>
    <xf numFmtId="0" fontId="4" fillId="0" borderId="2" xfId="2" applyFont="1" applyFill="1" applyBorder="1" applyAlignment="1">
      <alignment horizontal="center"/>
    </xf>
    <xf numFmtId="0" fontId="4" fillId="0" borderId="1" xfId="0" applyFont="1" applyFill="1" applyBorder="1" applyAlignment="1">
      <alignment horizontal="justify"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6" fillId="0" borderId="0" xfId="2" applyFont="1" applyFill="1" applyAlignment="1">
      <alignment horizontal="center"/>
    </xf>
    <xf numFmtId="0" fontId="4" fillId="0" borderId="1" xfId="2" applyNumberFormat="1" applyFont="1" applyFill="1" applyBorder="1" applyAlignment="1" applyProtection="1">
      <alignment wrapText="1"/>
      <protection hidden="1"/>
    </xf>
    <xf numFmtId="0" fontId="3" fillId="0" borderId="1" xfId="2" applyNumberFormat="1" applyFont="1" applyFill="1" applyBorder="1" applyAlignment="1" applyProtection="1">
      <alignment wrapText="1"/>
      <protection hidden="1"/>
    </xf>
    <xf numFmtId="0" fontId="4" fillId="0" borderId="0" xfId="2" applyFont="1" applyFill="1"/>
    <xf numFmtId="4" fontId="8" fillId="0" borderId="1" xfId="2" applyNumberFormat="1" applyFont="1" applyFill="1" applyBorder="1" applyAlignment="1">
      <alignment horizontal="right"/>
    </xf>
    <xf numFmtId="4" fontId="9" fillId="0" borderId="1" xfId="2" applyNumberFormat="1" applyFont="1" applyFill="1" applyBorder="1" applyAlignment="1">
      <alignment horizontal="right"/>
    </xf>
    <xf numFmtId="0" fontId="4" fillId="0" borderId="1" xfId="0" applyFont="1" applyFill="1" applyBorder="1" applyAlignment="1">
      <alignment horizontal="justify" vertical="center" wrapText="1"/>
    </xf>
    <xf numFmtId="4" fontId="3" fillId="0" borderId="1" xfId="2" applyNumberFormat="1" applyFont="1" applyFill="1" applyBorder="1" applyAlignment="1">
      <alignment horizontal="center"/>
    </xf>
    <xf numFmtId="0" fontId="4" fillId="0" borderId="1" xfId="2" applyNumberFormat="1" applyFont="1" applyFill="1" applyBorder="1" applyAlignment="1" applyProtection="1">
      <alignment horizontal="left" wrapText="1" shrinkToFit="1"/>
      <protection hidden="1"/>
    </xf>
    <xf numFmtId="0" fontId="4" fillId="0" borderId="1" xfId="2" applyNumberFormat="1" applyFont="1" applyFill="1" applyBorder="1" applyAlignment="1" applyProtection="1">
      <alignment horizontal="center" wrapText="1" shrinkToFit="1"/>
      <protection hidden="1"/>
    </xf>
    <xf numFmtId="4" fontId="4" fillId="0" borderId="1" xfId="2" applyNumberFormat="1" applyFont="1" applyFill="1" applyBorder="1" applyAlignment="1" applyProtection="1">
      <alignment horizontal="right" wrapText="1"/>
      <protection hidden="1"/>
    </xf>
    <xf numFmtId="0" fontId="6" fillId="0" borderId="1" xfId="2" applyFont="1" applyFill="1" applyBorder="1" applyAlignment="1">
      <alignment horizontal="left"/>
    </xf>
    <xf numFmtId="49" fontId="6" fillId="0" borderId="1" xfId="2" applyNumberFormat="1" applyFont="1" applyFill="1" applyBorder="1"/>
    <xf numFmtId="4" fontId="6" fillId="0" borderId="1" xfId="2" applyNumberFormat="1" applyFont="1" applyFill="1" applyBorder="1"/>
    <xf numFmtId="4" fontId="4" fillId="0" borderId="1" xfId="2" applyNumberFormat="1" applyFont="1" applyFill="1" applyBorder="1" applyAlignment="1">
      <alignment horizontal="center" wrapText="1"/>
    </xf>
    <xf numFmtId="4" fontId="4" fillId="0" borderId="1" xfId="2" applyNumberFormat="1" applyFont="1" applyFill="1" applyBorder="1" applyAlignment="1">
      <alignment horizontal="right" wrapText="1"/>
    </xf>
    <xf numFmtId="0" fontId="3" fillId="0" borderId="0" xfId="2" applyFont="1" applyFill="1" applyAlignment="1">
      <alignment horizontal="center"/>
    </xf>
    <xf numFmtId="49" fontId="3" fillId="0" borderId="0" xfId="2" applyNumberFormat="1" applyFont="1" applyFill="1"/>
    <xf numFmtId="3" fontId="3" fillId="0" borderId="0" xfId="2" applyNumberFormat="1" applyFont="1" applyFill="1"/>
    <xf numFmtId="0" fontId="3" fillId="0" borderId="0" xfId="2" applyFont="1" applyFill="1" applyBorder="1"/>
    <xf numFmtId="4" fontId="3" fillId="0" borderId="0" xfId="2" applyNumberFormat="1" applyFont="1" applyFill="1" applyBorder="1" applyAlignment="1">
      <alignment horizontal="center" wrapText="1"/>
    </xf>
    <xf numFmtId="0" fontId="3" fillId="0" borderId="0" xfId="2" applyFont="1" applyFill="1" applyAlignment="1">
      <alignment horizontal="left"/>
    </xf>
    <xf numFmtId="0" fontId="4" fillId="0" borderId="0" xfId="0" applyFont="1" applyFill="1" applyAlignment="1">
      <alignment horizontal="center" vertical="center" wrapText="1"/>
    </xf>
    <xf numFmtId="0" fontId="4" fillId="0" borderId="3" xfId="0" applyFont="1" applyFill="1" applyBorder="1" applyAlignment="1">
      <alignment horizontal="center" vertical="center" wrapText="1"/>
    </xf>
    <xf numFmtId="0" fontId="3" fillId="0" borderId="0" xfId="2" applyFont="1" applyFill="1" applyAlignment="1">
      <alignment horizontal="right"/>
    </xf>
    <xf numFmtId="0" fontId="4" fillId="0" borderId="4" xfId="2" applyFont="1" applyFill="1" applyBorder="1" applyAlignment="1">
      <alignment horizontal="center" vertical="center" textRotation="90" wrapText="1"/>
    </xf>
    <xf numFmtId="0" fontId="5" fillId="0" borderId="2" xfId="2" applyFont="1" applyFill="1" applyBorder="1" applyAlignment="1">
      <alignment horizontal="center"/>
    </xf>
    <xf numFmtId="0" fontId="6" fillId="0" borderId="2" xfId="2" applyFont="1" applyFill="1" applyBorder="1" applyAlignment="1">
      <alignment horizontal="center"/>
    </xf>
  </cellXfs>
  <cellStyles count="5">
    <cellStyle name="Обычный" xfId="0" builtinId="0"/>
    <cellStyle name="Обычный 2" xfId="4"/>
    <cellStyle name="Обычный_Tmp2" xfId="2"/>
    <cellStyle name="Обычный_Роспись по видам доходов" xfId="3"/>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8;&#1089;&#1087;&#1086;&#1083;&#1085;&#1077;&#1085;&#1080;&#1077;%20&#1073;&#1102;&#1076;&#1078;&#1077;&#1090;&#1072;/&#1048;&#1089;&#1087;&#1086;&#1083;&#1085;&#1077;&#1085;&#1080;&#1077;%20&#1076;&#1086;&#1093;&#1086;&#1076;&#1086;&#1074;/&#1048;&#1089;&#1087;&#1086;&#1083;&#1085;&#1077;&#1085;&#1080;&#1077;%20&#1076;&#1086;&#1093;&#1086;&#1076;&#1086;&#1074;%202021&#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sheetName val="февраль"/>
      <sheetName val="март"/>
      <sheetName val="апрель"/>
      <sheetName val="май"/>
      <sheetName val="июнь"/>
      <sheetName val="июль"/>
      <sheetName val="август"/>
      <sheetName val="сентябрь"/>
    </sheetNames>
    <sheetDataSet>
      <sheetData sheetId="0"/>
      <sheetData sheetId="1"/>
      <sheetData sheetId="2"/>
      <sheetData sheetId="3">
        <row r="9">
          <cell r="L9">
            <v>262899611.24000004</v>
          </cell>
        </row>
        <row r="10">
          <cell r="L10">
            <v>169690.01</v>
          </cell>
        </row>
        <row r="11">
          <cell r="L11">
            <v>836294.17999999993</v>
          </cell>
        </row>
        <row r="12">
          <cell r="L12">
            <v>482229.51</v>
          </cell>
        </row>
        <row r="13">
          <cell r="L13">
            <v>8191805.96</v>
          </cell>
        </row>
        <row r="16">
          <cell r="L16">
            <v>1787181.02</v>
          </cell>
        </row>
        <row r="17">
          <cell r="L17">
            <v>13196.369999999999</v>
          </cell>
        </row>
        <row r="18">
          <cell r="L18">
            <v>2479767.7999999998</v>
          </cell>
        </row>
        <row r="19">
          <cell r="L19">
            <v>-324507.63000000006</v>
          </cell>
        </row>
        <row r="23">
          <cell r="L23">
            <v>48079329.640000001</v>
          </cell>
        </row>
        <row r="24">
          <cell r="L24">
            <v>-0.01</v>
          </cell>
        </row>
        <row r="26">
          <cell r="L26">
            <v>8650615.5</v>
          </cell>
        </row>
        <row r="27">
          <cell r="L27">
            <v>0</v>
          </cell>
        </row>
        <row r="28">
          <cell r="L28">
            <v>0.04</v>
          </cell>
        </row>
        <row r="30">
          <cell r="L30">
            <v>6577924.6799999997</v>
          </cell>
        </row>
        <row r="31">
          <cell r="L31">
            <v>96.970000000000013</v>
          </cell>
        </row>
        <row r="33">
          <cell r="L33">
            <v>24077</v>
          </cell>
        </row>
        <row r="35">
          <cell r="L35">
            <v>3617950.91</v>
          </cell>
        </row>
        <row r="38">
          <cell r="L38">
            <v>3301115.7399999998</v>
          </cell>
        </row>
        <row r="40">
          <cell r="L40">
            <v>1973137.83</v>
          </cell>
        </row>
        <row r="41">
          <cell r="L41">
            <v>1899133.87</v>
          </cell>
        </row>
        <row r="43">
          <cell r="L43">
            <v>23599170.579999998</v>
          </cell>
        </row>
        <row r="44">
          <cell r="L44">
            <v>221079.57999999978</v>
          </cell>
        </row>
        <row r="47">
          <cell r="L47">
            <v>2230284.39</v>
          </cell>
        </row>
        <row r="49">
          <cell r="L49">
            <v>8313.43</v>
          </cell>
        </row>
        <row r="51">
          <cell r="L51">
            <v>0</v>
          </cell>
        </row>
        <row r="56">
          <cell r="L56">
            <v>42789245.910000004</v>
          </cell>
        </row>
        <row r="58">
          <cell r="L58">
            <v>6296047.2999999998</v>
          </cell>
        </row>
        <row r="61">
          <cell r="L61">
            <v>12400</v>
          </cell>
        </row>
        <row r="64">
          <cell r="L64">
            <v>238262.11</v>
          </cell>
        </row>
        <row r="66">
          <cell r="L66">
            <v>103093.14</v>
          </cell>
        </row>
        <row r="69">
          <cell r="L69">
            <v>162009.08000000002</v>
          </cell>
        </row>
        <row r="70">
          <cell r="L70">
            <v>713.95</v>
          </cell>
        </row>
        <row r="72">
          <cell r="L72">
            <v>93524.62999999999</v>
          </cell>
        </row>
        <row r="73">
          <cell r="L73">
            <v>0</v>
          </cell>
        </row>
        <row r="74">
          <cell r="L74">
            <v>196052.45</v>
          </cell>
        </row>
        <row r="78">
          <cell r="L78">
            <v>18237900.620000001</v>
          </cell>
        </row>
        <row r="81">
          <cell r="L81">
            <v>9500348.5399999991</v>
          </cell>
        </row>
        <row r="84">
          <cell r="L84">
            <v>1481916.2599999998</v>
          </cell>
        </row>
        <row r="87">
          <cell r="L87">
            <v>1041208.7999999999</v>
          </cell>
        </row>
        <row r="92">
          <cell r="L92">
            <v>7100</v>
          </cell>
        </row>
        <row r="93">
          <cell r="L93">
            <v>0</v>
          </cell>
        </row>
        <row r="94">
          <cell r="L94">
            <v>1000</v>
          </cell>
        </row>
        <row r="97">
          <cell r="L97">
            <v>0</v>
          </cell>
        </row>
        <row r="98">
          <cell r="L98">
            <v>65.09</v>
          </cell>
        </row>
        <row r="99">
          <cell r="L99">
            <v>1.759999999999998</v>
          </cell>
        </row>
        <row r="100">
          <cell r="L100">
            <v>4000</v>
          </cell>
        </row>
        <row r="101">
          <cell r="L101">
            <v>0</v>
          </cell>
        </row>
        <row r="102">
          <cell r="L102">
            <v>0</v>
          </cell>
        </row>
        <row r="105">
          <cell r="L105">
            <v>0</v>
          </cell>
        </row>
        <row r="106">
          <cell r="L106">
            <v>2009.68</v>
          </cell>
        </row>
        <row r="109">
          <cell r="L109">
            <v>0</v>
          </cell>
        </row>
        <row r="110">
          <cell r="L110">
            <v>0</v>
          </cell>
        </row>
        <row r="112">
          <cell r="L112">
            <v>0</v>
          </cell>
        </row>
        <row r="115">
          <cell r="L115">
            <v>1200</v>
          </cell>
        </row>
        <row r="116">
          <cell r="L116">
            <v>0</v>
          </cell>
        </row>
        <row r="118">
          <cell r="L118">
            <v>0</v>
          </cell>
        </row>
        <row r="120">
          <cell r="L120">
            <v>0</v>
          </cell>
        </row>
        <row r="122">
          <cell r="L122">
            <v>83400</v>
          </cell>
        </row>
        <row r="123">
          <cell r="L123">
            <v>482.76</v>
          </cell>
        </row>
        <row r="125">
          <cell r="L125">
            <v>0</v>
          </cell>
        </row>
        <row r="126">
          <cell r="L126">
            <v>6088.7</v>
          </cell>
        </row>
        <row r="127">
          <cell r="L127">
            <v>-500</v>
          </cell>
        </row>
        <row r="128">
          <cell r="L128">
            <v>1802.98</v>
          </cell>
        </row>
        <row r="130">
          <cell r="L130">
            <v>8000</v>
          </cell>
        </row>
        <row r="131">
          <cell r="L131">
            <v>0</v>
          </cell>
        </row>
        <row r="133">
          <cell r="L133">
            <v>0</v>
          </cell>
        </row>
        <row r="136">
          <cell r="L136">
            <v>13300</v>
          </cell>
        </row>
        <row r="138">
          <cell r="L138">
            <v>21476.519999999997</v>
          </cell>
        </row>
        <row r="139">
          <cell r="L139">
            <v>10000</v>
          </cell>
        </row>
        <row r="140">
          <cell r="L140">
            <v>0</v>
          </cell>
        </row>
        <row r="141">
          <cell r="L141">
            <v>3000</v>
          </cell>
        </row>
        <row r="142">
          <cell r="L142">
            <v>4000</v>
          </cell>
        </row>
        <row r="144">
          <cell r="L144">
            <v>0</v>
          </cell>
        </row>
        <row r="145">
          <cell r="L145">
            <v>0</v>
          </cell>
        </row>
        <row r="146">
          <cell r="L146">
            <v>0</v>
          </cell>
        </row>
        <row r="147">
          <cell r="L147">
            <v>657160.51</v>
          </cell>
        </row>
        <row r="148">
          <cell r="L148">
            <v>0</v>
          </cell>
        </row>
        <row r="149">
          <cell r="L149">
            <v>0</v>
          </cell>
        </row>
        <row r="151">
          <cell r="L151">
            <v>50014.81</v>
          </cell>
        </row>
        <row r="153">
          <cell r="L153">
            <v>2175455.06</v>
          </cell>
        </row>
        <row r="154">
          <cell r="L154">
            <v>0</v>
          </cell>
        </row>
        <row r="157">
          <cell r="L157">
            <v>0</v>
          </cell>
        </row>
        <row r="160">
          <cell r="L160">
            <v>2485.19</v>
          </cell>
        </row>
        <row r="161">
          <cell r="L161">
            <v>0</v>
          </cell>
        </row>
        <row r="162">
          <cell r="L162">
            <v>350</v>
          </cell>
        </row>
        <row r="163">
          <cell r="L163">
            <v>0</v>
          </cell>
        </row>
        <row r="164">
          <cell r="L164">
            <v>0</v>
          </cell>
        </row>
        <row r="165">
          <cell r="L165">
            <v>56765.17</v>
          </cell>
        </row>
        <row r="166">
          <cell r="L166">
            <v>5000</v>
          </cell>
        </row>
        <row r="167">
          <cell r="L167">
            <v>0</v>
          </cell>
        </row>
        <row r="169">
          <cell r="L169">
            <v>-141.05000000000001</v>
          </cell>
        </row>
        <row r="172">
          <cell r="L172">
            <v>7022616.2399999993</v>
          </cell>
        </row>
        <row r="175">
          <cell r="L175">
            <v>-1425.5299999999993</v>
          </cell>
        </row>
        <row r="177">
          <cell r="L177">
            <v>52708.789999999994</v>
          </cell>
        </row>
      </sheetData>
      <sheetData sheetId="4"/>
      <sheetData sheetId="5"/>
      <sheetData sheetId="6"/>
      <sheetData sheetId="7"/>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8"/>
  <sheetViews>
    <sheetView tabSelected="1" topLeftCell="B1" zoomScale="75" zoomScaleNormal="75" workbookViewId="0">
      <pane ySplit="6" topLeftCell="A167" activePane="bottomLeft" state="frozen"/>
      <selection pane="bottomLeft" activeCell="L172" sqref="L172"/>
    </sheetView>
  </sheetViews>
  <sheetFormatPr defaultColWidth="9.140625" defaultRowHeight="12.75" x14ac:dyDescent="0.2"/>
  <cols>
    <col min="1" max="1" width="6.5703125" style="2" hidden="1" customWidth="1"/>
    <col min="2" max="2" width="92" style="62" customWidth="1"/>
    <col min="3" max="3" width="8.85546875" style="57" customWidth="1"/>
    <col min="4" max="4" width="28.5703125" style="58" customWidth="1"/>
    <col min="5" max="5" width="7.42578125" style="58" hidden="1" customWidth="1"/>
    <col min="6" max="6" width="16" style="58" hidden="1" customWidth="1"/>
    <col min="7" max="7" width="11.7109375" style="59" hidden="1" customWidth="1"/>
    <col min="8" max="8" width="22" style="60" customWidth="1"/>
    <col min="9" max="9" width="20" style="60" hidden="1" customWidth="1"/>
    <col min="10" max="10" width="19.7109375" style="60" hidden="1" customWidth="1"/>
    <col min="11" max="11" width="3.5703125" style="60" hidden="1" customWidth="1"/>
    <col min="12" max="12" width="18.7109375" style="60" customWidth="1"/>
    <col min="13" max="13" width="14.140625" style="61" hidden="1" customWidth="1"/>
    <col min="14" max="14" width="12" style="60" hidden="1" customWidth="1"/>
    <col min="15" max="15" width="14.140625" style="61" hidden="1" customWidth="1"/>
    <col min="16" max="16" width="19.5703125" style="61" customWidth="1"/>
    <col min="17" max="16384" width="9.140625" style="1"/>
  </cols>
  <sheetData>
    <row r="1" spans="1:16" x14ac:dyDescent="0.2">
      <c r="B1" s="65" t="s">
        <v>372</v>
      </c>
      <c r="C1" s="65"/>
      <c r="D1" s="65"/>
      <c r="E1" s="65"/>
      <c r="F1" s="65"/>
      <c r="G1" s="65"/>
      <c r="H1" s="65"/>
      <c r="I1" s="65"/>
      <c r="J1" s="65"/>
      <c r="K1" s="65"/>
      <c r="L1" s="65"/>
      <c r="M1" s="65"/>
      <c r="N1" s="65"/>
      <c r="O1" s="65"/>
      <c r="P1" s="65"/>
    </row>
    <row r="2" spans="1:16" x14ac:dyDescent="0.2">
      <c r="B2" s="63" t="s">
        <v>358</v>
      </c>
      <c r="C2" s="63"/>
      <c r="D2" s="63"/>
      <c r="E2" s="63"/>
      <c r="F2" s="63"/>
      <c r="G2" s="63"/>
      <c r="H2" s="63"/>
      <c r="I2" s="63"/>
      <c r="J2" s="63"/>
      <c r="K2" s="63"/>
      <c r="L2" s="63"/>
      <c r="M2" s="63"/>
      <c r="N2" s="63"/>
      <c r="O2" s="63"/>
      <c r="P2" s="63"/>
    </row>
    <row r="3" spans="1:16" x14ac:dyDescent="0.2">
      <c r="B3" s="63"/>
      <c r="C3" s="63"/>
      <c r="D3" s="63"/>
      <c r="E3" s="63"/>
      <c r="F3" s="63"/>
      <c r="G3" s="63"/>
      <c r="H3" s="63"/>
      <c r="I3" s="63"/>
      <c r="J3" s="63"/>
      <c r="K3" s="63"/>
      <c r="L3" s="63"/>
      <c r="M3" s="63"/>
      <c r="N3" s="63"/>
      <c r="O3" s="63"/>
      <c r="P3" s="63"/>
    </row>
    <row r="4" spans="1:16" x14ac:dyDescent="0.2">
      <c r="B4" s="64"/>
      <c r="C4" s="64"/>
      <c r="D4" s="64"/>
      <c r="E4" s="64"/>
      <c r="F4" s="64"/>
      <c r="G4" s="64"/>
      <c r="H4" s="64"/>
      <c r="I4" s="64"/>
      <c r="J4" s="64"/>
      <c r="K4" s="64"/>
      <c r="L4" s="64"/>
      <c r="M4" s="64"/>
      <c r="N4" s="64"/>
      <c r="O4" s="64"/>
      <c r="P4" s="64"/>
    </row>
    <row r="5" spans="1:16" ht="38.25" x14ac:dyDescent="0.2">
      <c r="A5" s="66"/>
      <c r="B5" s="3" t="s">
        <v>0</v>
      </c>
      <c r="C5" s="3" t="s">
        <v>1</v>
      </c>
      <c r="D5" s="3" t="s">
        <v>2</v>
      </c>
      <c r="E5" s="3" t="s">
        <v>3</v>
      </c>
      <c r="F5" s="3" t="s">
        <v>4</v>
      </c>
      <c r="G5" s="4" t="s">
        <v>5</v>
      </c>
      <c r="H5" s="5" t="s">
        <v>6</v>
      </c>
      <c r="I5" s="5" t="s">
        <v>7</v>
      </c>
      <c r="J5" s="5" t="s">
        <v>8</v>
      </c>
      <c r="K5" s="5" t="s">
        <v>9</v>
      </c>
      <c r="L5" s="5" t="s">
        <v>371</v>
      </c>
      <c r="M5" s="6" t="s">
        <v>10</v>
      </c>
      <c r="N5" s="7"/>
      <c r="O5" s="6" t="s">
        <v>11</v>
      </c>
      <c r="P5" s="6" t="s">
        <v>350</v>
      </c>
    </row>
    <row r="6" spans="1:16" x14ac:dyDescent="0.2">
      <c r="A6" s="37"/>
      <c r="B6" s="8" t="s">
        <v>12</v>
      </c>
      <c r="C6" s="9"/>
      <c r="D6" s="10" t="s">
        <v>13</v>
      </c>
      <c r="E6" s="10"/>
      <c r="F6" s="10"/>
      <c r="G6" s="10"/>
      <c r="H6" s="11">
        <f>H7+H53</f>
        <v>1346994387.3399999</v>
      </c>
      <c r="I6" s="11">
        <f t="shared" ref="I6:P6" si="0">I7+I53</f>
        <v>91591690.069999993</v>
      </c>
      <c r="J6" s="11">
        <f t="shared" si="0"/>
        <v>467057638.0800001</v>
      </c>
      <c r="K6" s="11">
        <f t="shared" si="0"/>
        <v>102612891.04000002</v>
      </c>
      <c r="L6" s="11">
        <f t="shared" si="0"/>
        <v>932879553.83000004</v>
      </c>
      <c r="M6" s="11" t="e">
        <f t="shared" si="0"/>
        <v>#DIV/0!</v>
      </c>
      <c r="N6" s="11" t="e">
        <f t="shared" si="0"/>
        <v>#DIV/0!</v>
      </c>
      <c r="O6" s="11" t="e">
        <f t="shared" si="0"/>
        <v>#DIV/0!</v>
      </c>
      <c r="P6" s="11">
        <f t="shared" si="0"/>
        <v>1346994387.3399999</v>
      </c>
    </row>
    <row r="7" spans="1:16" x14ac:dyDescent="0.2">
      <c r="A7" s="37"/>
      <c r="B7" s="8" t="s">
        <v>14</v>
      </c>
      <c r="C7" s="9"/>
      <c r="D7" s="10"/>
      <c r="E7" s="10"/>
      <c r="F7" s="10"/>
      <c r="G7" s="10"/>
      <c r="H7" s="12">
        <f>H8+H15+H21+H37+H46</f>
        <v>1092954880</v>
      </c>
      <c r="I7" s="12">
        <f t="shared" ref="I7:P7" si="1">I8+I15+I21+I37+I46</f>
        <v>81791098.329999998</v>
      </c>
      <c r="J7" s="12">
        <f t="shared" si="1"/>
        <v>376717498.61000007</v>
      </c>
      <c r="K7" s="12">
        <f t="shared" si="1"/>
        <v>87956103.480000019</v>
      </c>
      <c r="L7" s="12">
        <f t="shared" si="1"/>
        <v>769212963.11000001</v>
      </c>
      <c r="M7" s="12" t="e">
        <f t="shared" si="1"/>
        <v>#DIV/0!</v>
      </c>
      <c r="N7" s="12" t="e">
        <f t="shared" si="1"/>
        <v>#DIV/0!</v>
      </c>
      <c r="O7" s="12" t="e">
        <f t="shared" si="1"/>
        <v>#DIV/0!</v>
      </c>
      <c r="P7" s="12">
        <f t="shared" si="1"/>
        <v>1092954880</v>
      </c>
    </row>
    <row r="8" spans="1:16" x14ac:dyDescent="0.2">
      <c r="A8" s="37"/>
      <c r="B8" s="13" t="s">
        <v>15</v>
      </c>
      <c r="C8" s="14"/>
      <c r="D8" s="10" t="s">
        <v>16</v>
      </c>
      <c r="E8" s="10"/>
      <c r="F8" s="10"/>
      <c r="G8" s="10"/>
      <c r="H8" s="11">
        <f>H9</f>
        <v>841477880</v>
      </c>
      <c r="I8" s="11">
        <f t="shared" ref="I8:P8" si="2">I9</f>
        <v>68198156.670000002</v>
      </c>
      <c r="J8" s="11">
        <f t="shared" si="2"/>
        <v>272579630.90000004</v>
      </c>
      <c r="K8" s="11">
        <f t="shared" si="2"/>
        <v>66114517.650000006</v>
      </c>
      <c r="L8" s="11">
        <f>L9</f>
        <v>570709145.19000006</v>
      </c>
      <c r="M8" s="11">
        <f t="shared" si="2"/>
        <v>376.26437387001198</v>
      </c>
      <c r="N8" s="11">
        <f t="shared" si="2"/>
        <v>376.26437387001198</v>
      </c>
      <c r="O8" s="11" t="e">
        <f t="shared" si="2"/>
        <v>#DIV/0!</v>
      </c>
      <c r="P8" s="11">
        <f t="shared" si="2"/>
        <v>841477880</v>
      </c>
    </row>
    <row r="9" spans="1:16" x14ac:dyDescent="0.2">
      <c r="A9" s="37"/>
      <c r="B9" s="13" t="s">
        <v>17</v>
      </c>
      <c r="C9" s="14"/>
      <c r="D9" s="10" t="s">
        <v>18</v>
      </c>
      <c r="E9" s="10"/>
      <c r="F9" s="10"/>
      <c r="G9" s="10"/>
      <c r="H9" s="11">
        <f>SUM(H10:H14)</f>
        <v>841477880</v>
      </c>
      <c r="I9" s="11">
        <f t="shared" ref="I9:P9" si="3">SUM(I10:I14)</f>
        <v>68198156.670000002</v>
      </c>
      <c r="J9" s="11">
        <f t="shared" si="3"/>
        <v>272579630.90000004</v>
      </c>
      <c r="K9" s="11">
        <f t="shared" si="3"/>
        <v>66114517.650000006</v>
      </c>
      <c r="L9" s="11">
        <f>SUM(L10:L14)</f>
        <v>570709145.19000006</v>
      </c>
      <c r="M9" s="11">
        <f t="shared" si="3"/>
        <v>376.26437387001198</v>
      </c>
      <c r="N9" s="11">
        <f t="shared" si="3"/>
        <v>376.26437387001198</v>
      </c>
      <c r="O9" s="11" t="e">
        <f t="shared" si="3"/>
        <v>#DIV/0!</v>
      </c>
      <c r="P9" s="11">
        <f t="shared" si="3"/>
        <v>841477880</v>
      </c>
    </row>
    <row r="10" spans="1:16" ht="38.25" x14ac:dyDescent="0.2">
      <c r="A10" s="37"/>
      <c r="B10" s="15" t="s">
        <v>19</v>
      </c>
      <c r="C10" s="16" t="s">
        <v>20</v>
      </c>
      <c r="D10" s="17" t="s">
        <v>21</v>
      </c>
      <c r="E10" s="17" t="s">
        <v>22</v>
      </c>
      <c r="F10" s="17"/>
      <c r="G10" s="17"/>
      <c r="H10" s="18">
        <v>810377880</v>
      </c>
      <c r="I10" s="18">
        <v>67531490</v>
      </c>
      <c r="J10" s="18">
        <f>[1]апрель!L9</f>
        <v>262899611.24000004</v>
      </c>
      <c r="K10" s="18">
        <f>7828602.34+120.94-263832.49+64.02+276702.29+0.09+2451934.31+0.54+4935.95+1120262.79+582.38+4535.14+4653917.8+20368.75+5195136.12+740.21+287.68+5522949.32+28779923.87+155.1+122.43+1786245.41+164174.46+45.99+13506.48+911411.99+46.42+1292033.89+29651.91+83764.84+1722696.97+33626.53-13506.48+2150908.97+3017.49+3589.13+1476256.06</f>
        <v>65254979.640000008</v>
      </c>
      <c r="L10" s="19">
        <v>527131317.93000001</v>
      </c>
      <c r="M10" s="20">
        <f t="shared" ref="M10:M75" si="4">IF(N10&gt;200,"свыше200,0",N10)</f>
        <v>65.047594577729598</v>
      </c>
      <c r="N10" s="21">
        <f t="shared" ref="N10:N19" si="5">L10/H10*100</f>
        <v>65.047594577729598</v>
      </c>
      <c r="O10" s="20">
        <f>K10/I10*100</f>
        <v>96.628964709648798</v>
      </c>
      <c r="P10" s="22">
        <f>H10+Q10</f>
        <v>810377880</v>
      </c>
    </row>
    <row r="11" spans="1:16" s="23" customFormat="1" ht="51" x14ac:dyDescent="0.2">
      <c r="A11" s="37"/>
      <c r="B11" s="15" t="s">
        <v>23</v>
      </c>
      <c r="C11" s="16" t="s">
        <v>20</v>
      </c>
      <c r="D11" s="17" t="s">
        <v>24</v>
      </c>
      <c r="E11" s="17" t="s">
        <v>22</v>
      </c>
      <c r="F11" s="17"/>
      <c r="G11" s="17"/>
      <c r="H11" s="18">
        <v>2100000</v>
      </c>
      <c r="I11" s="18">
        <v>175000</v>
      </c>
      <c r="J11" s="18">
        <f>[1]апрель!L10</f>
        <v>169690.01</v>
      </c>
      <c r="K11" s="18">
        <f>6033.31-10111.82</f>
        <v>-4078.5099999999993</v>
      </c>
      <c r="L11" s="19">
        <v>251281.11</v>
      </c>
      <c r="M11" s="20">
        <f t="shared" si="4"/>
        <v>11.965767142857143</v>
      </c>
      <c r="N11" s="21">
        <f t="shared" si="5"/>
        <v>11.965767142857143</v>
      </c>
      <c r="O11" s="20">
        <f t="shared" ref="O11:O85" si="6">K11/I11*100</f>
        <v>-2.3305771428571425</v>
      </c>
      <c r="P11" s="22">
        <f t="shared" ref="P11:P14" si="7">H11+Q11</f>
        <v>2100000</v>
      </c>
    </row>
    <row r="12" spans="1:16" s="23" customFormat="1" ht="25.5" x14ac:dyDescent="0.2">
      <c r="A12" s="37"/>
      <c r="B12" s="15" t="s">
        <v>25</v>
      </c>
      <c r="C12" s="16" t="s">
        <v>20</v>
      </c>
      <c r="D12" s="17" t="s">
        <v>26</v>
      </c>
      <c r="E12" s="17" t="s">
        <v>22</v>
      </c>
      <c r="F12" s="17"/>
      <c r="G12" s="17"/>
      <c r="H12" s="18">
        <v>2900000</v>
      </c>
      <c r="I12" s="18">
        <v>241666.67</v>
      </c>
      <c r="J12" s="18">
        <f>[1]апрель!L11</f>
        <v>836294.17999999993</v>
      </c>
      <c r="K12" s="18">
        <f>2160.86+11051.42+6.78+30.67+0.44+5616.86+3125.52+53.4+42169.94+1732.29+1904.69+48.51+0.03-504.55+504.55+10584+19.38+0.86+0.15+6197.9+145.3+5393.95+665.28</f>
        <v>90908.23</v>
      </c>
      <c r="L12" s="19">
        <v>1948523.18</v>
      </c>
      <c r="M12" s="20">
        <f t="shared" si="4"/>
        <v>67.190454482758625</v>
      </c>
      <c r="N12" s="21">
        <f t="shared" si="5"/>
        <v>67.190454482758625</v>
      </c>
      <c r="O12" s="20">
        <f t="shared" si="6"/>
        <v>37.617198101831747</v>
      </c>
      <c r="P12" s="22">
        <f t="shared" si="7"/>
        <v>2900000</v>
      </c>
    </row>
    <row r="13" spans="1:16" ht="38.25" x14ac:dyDescent="0.2">
      <c r="A13" s="37"/>
      <c r="B13" s="15" t="s">
        <v>27</v>
      </c>
      <c r="C13" s="16" t="s">
        <v>20</v>
      </c>
      <c r="D13" s="17" t="s">
        <v>28</v>
      </c>
      <c r="E13" s="17" t="s">
        <v>22</v>
      </c>
      <c r="F13" s="17"/>
      <c r="G13" s="17"/>
      <c r="H13" s="18">
        <v>3000000</v>
      </c>
      <c r="I13" s="18">
        <v>250000</v>
      </c>
      <c r="J13" s="18">
        <f>[1]апрель!L12</f>
        <v>482229.51</v>
      </c>
      <c r="K13" s="18">
        <f>17668.8+4371.84+10929.6+4371.84+4371.84+21980.16+10938.24+11232+10998.72+24010.56+26244+11111.04</f>
        <v>158228.64000000001</v>
      </c>
      <c r="L13" s="19">
        <v>1825069.53</v>
      </c>
      <c r="M13" s="20">
        <f t="shared" si="4"/>
        <v>60.835650999999999</v>
      </c>
      <c r="N13" s="21">
        <f t="shared" si="5"/>
        <v>60.835650999999999</v>
      </c>
      <c r="O13" s="20">
        <f t="shared" si="6"/>
        <v>63.291456000000004</v>
      </c>
      <c r="P13" s="22">
        <f t="shared" si="7"/>
        <v>3000000</v>
      </c>
    </row>
    <row r="14" spans="1:16" ht="51" x14ac:dyDescent="0.2">
      <c r="A14" s="37"/>
      <c r="B14" s="15" t="s">
        <v>29</v>
      </c>
      <c r="C14" s="16" t="s">
        <v>20</v>
      </c>
      <c r="D14" s="17" t="s">
        <v>30</v>
      </c>
      <c r="E14" s="17" t="s">
        <v>22</v>
      </c>
      <c r="F14" s="17"/>
      <c r="G14" s="17"/>
      <c r="H14" s="18">
        <v>23100000</v>
      </c>
      <c r="I14" s="18">
        <v>0</v>
      </c>
      <c r="J14" s="18">
        <f>[1]апрель!L13</f>
        <v>8191805.96</v>
      </c>
      <c r="K14" s="18">
        <f>203823.62+4409.79+22106.32+1420.27+176011.99+70408.8+34387.05+101911.81</f>
        <v>614479.64999999991</v>
      </c>
      <c r="L14" s="19">
        <v>39552953.439999998</v>
      </c>
      <c r="M14" s="20">
        <f>IF(N14&gt;200,"свыше200,0",N14)</f>
        <v>171.22490666666664</v>
      </c>
      <c r="N14" s="21">
        <f>L14/H14*100</f>
        <v>171.22490666666664</v>
      </c>
      <c r="O14" s="20" t="e">
        <f>K14/I14*100</f>
        <v>#DIV/0!</v>
      </c>
      <c r="P14" s="22">
        <f t="shared" si="7"/>
        <v>23100000</v>
      </c>
    </row>
    <row r="15" spans="1:16" ht="25.5" x14ac:dyDescent="0.2">
      <c r="A15" s="37"/>
      <c r="B15" s="13" t="s">
        <v>31</v>
      </c>
      <c r="C15" s="14"/>
      <c r="D15" s="10" t="s">
        <v>32</v>
      </c>
      <c r="E15" s="10"/>
      <c r="F15" s="10"/>
      <c r="G15" s="10"/>
      <c r="H15" s="11">
        <f>H16</f>
        <v>13355100</v>
      </c>
      <c r="I15" s="11">
        <f t="shared" ref="I15:P15" si="8">I16</f>
        <v>1112925</v>
      </c>
      <c r="J15" s="11">
        <f t="shared" si="8"/>
        <v>3955637.5599999996</v>
      </c>
      <c r="K15" s="11">
        <f t="shared" si="8"/>
        <v>3761.1299999999997</v>
      </c>
      <c r="L15" s="11">
        <f>L16</f>
        <v>8282639.8399999999</v>
      </c>
      <c r="M15" s="11">
        <f t="shared" si="8"/>
        <v>215.71916614256787</v>
      </c>
      <c r="N15" s="11">
        <f t="shared" si="8"/>
        <v>215.71916614256787</v>
      </c>
      <c r="O15" s="11">
        <f t="shared" si="8"/>
        <v>15.023006260560908</v>
      </c>
      <c r="P15" s="11">
        <f t="shared" si="8"/>
        <v>13355100</v>
      </c>
    </row>
    <row r="16" spans="1:16" x14ac:dyDescent="0.2">
      <c r="A16" s="37"/>
      <c r="B16" s="24" t="s">
        <v>33</v>
      </c>
      <c r="C16" s="25"/>
      <c r="D16" s="10" t="s">
        <v>34</v>
      </c>
      <c r="E16" s="10"/>
      <c r="F16" s="10"/>
      <c r="G16" s="10"/>
      <c r="H16" s="11">
        <f>SUM(H17:H20)</f>
        <v>13355100</v>
      </c>
      <c r="I16" s="11">
        <f t="shared" ref="I16:P16" si="9">SUM(I17:I20)</f>
        <v>1112925</v>
      </c>
      <c r="J16" s="11">
        <f t="shared" si="9"/>
        <v>3955637.5599999996</v>
      </c>
      <c r="K16" s="11">
        <f t="shared" si="9"/>
        <v>3761.1299999999997</v>
      </c>
      <c r="L16" s="11">
        <f>SUM(L17:L20)</f>
        <v>8282639.8399999999</v>
      </c>
      <c r="M16" s="11">
        <f t="shared" si="9"/>
        <v>215.71916614256787</v>
      </c>
      <c r="N16" s="11">
        <f t="shared" si="9"/>
        <v>215.71916614256787</v>
      </c>
      <c r="O16" s="11">
        <f t="shared" si="9"/>
        <v>15.023006260560908</v>
      </c>
      <c r="P16" s="11">
        <f t="shared" si="9"/>
        <v>13355100</v>
      </c>
    </row>
    <row r="17" spans="1:16" ht="51" x14ac:dyDescent="0.2">
      <c r="A17" s="37"/>
      <c r="B17" s="26" t="s">
        <v>35</v>
      </c>
      <c r="C17" s="27" t="s">
        <v>20</v>
      </c>
      <c r="D17" s="17" t="s">
        <v>36</v>
      </c>
      <c r="E17" s="17" t="s">
        <v>37</v>
      </c>
      <c r="F17" s="17"/>
      <c r="G17" s="17"/>
      <c r="H17" s="18">
        <v>6156500</v>
      </c>
      <c r="I17" s="18">
        <v>513041.67</v>
      </c>
      <c r="J17" s="18">
        <f>[1]апрель!L16</f>
        <v>1787181.02</v>
      </c>
      <c r="K17" s="18">
        <f>50.08+21.38</f>
        <v>71.459999999999994</v>
      </c>
      <c r="L17" s="19">
        <v>3749434.19</v>
      </c>
      <c r="M17" s="20">
        <f t="shared" si="4"/>
        <v>60.902041582067731</v>
      </c>
      <c r="N17" s="21">
        <f t="shared" si="5"/>
        <v>60.902041582067731</v>
      </c>
      <c r="O17" s="20">
        <f t="shared" si="6"/>
        <v>1.3928693160538012E-2</v>
      </c>
      <c r="P17" s="22">
        <f>H17+Q17</f>
        <v>6156500</v>
      </c>
    </row>
    <row r="18" spans="1:16" ht="63.75" x14ac:dyDescent="0.2">
      <c r="A18" s="37"/>
      <c r="B18" s="26" t="s">
        <v>38</v>
      </c>
      <c r="C18" s="27" t="s">
        <v>20</v>
      </c>
      <c r="D18" s="17" t="s">
        <v>39</v>
      </c>
      <c r="E18" s="17" t="s">
        <v>37</v>
      </c>
      <c r="F18" s="17"/>
      <c r="G18" s="17"/>
      <c r="H18" s="18">
        <v>30900</v>
      </c>
      <c r="I18" s="18">
        <v>2575</v>
      </c>
      <c r="J18" s="18">
        <f>[1]апрель!L17</f>
        <v>13196.369999999999</v>
      </c>
      <c r="K18" s="18">
        <f>0.92-21.38+303.89</f>
        <v>283.43</v>
      </c>
      <c r="L18" s="19">
        <v>27817.62</v>
      </c>
      <c r="M18" s="20">
        <f t="shared" si="4"/>
        <v>90.024660194174757</v>
      </c>
      <c r="N18" s="21">
        <f t="shared" si="5"/>
        <v>90.024660194174757</v>
      </c>
      <c r="O18" s="20">
        <f t="shared" si="6"/>
        <v>11.006990291262136</v>
      </c>
      <c r="P18" s="22">
        <f t="shared" ref="P18:P20" si="10">H18+Q18</f>
        <v>30900</v>
      </c>
    </row>
    <row r="19" spans="1:16" ht="51" x14ac:dyDescent="0.2">
      <c r="A19" s="37"/>
      <c r="B19" s="26" t="s">
        <v>40</v>
      </c>
      <c r="C19" s="27" t="s">
        <v>20</v>
      </c>
      <c r="D19" s="17" t="s">
        <v>41</v>
      </c>
      <c r="E19" s="17" t="s">
        <v>37</v>
      </c>
      <c r="F19" s="17"/>
      <c r="G19" s="17"/>
      <c r="H19" s="18">
        <v>8019100</v>
      </c>
      <c r="I19" s="18">
        <v>668258.32999999996</v>
      </c>
      <c r="J19" s="18">
        <f>[1]апрель!L18</f>
        <v>2479767.7999999998</v>
      </c>
      <c r="K19" s="18">
        <f>5629.19+16.69+0.37</f>
        <v>5646.2499999999991</v>
      </c>
      <c r="L19" s="19">
        <v>5195772.51</v>
      </c>
      <c r="M19" s="20">
        <f t="shared" si="4"/>
        <v>64.79246436632539</v>
      </c>
      <c r="N19" s="21">
        <f t="shared" si="5"/>
        <v>64.79246436632539</v>
      </c>
      <c r="O19" s="20">
        <f t="shared" si="6"/>
        <v>0.84492025711074925</v>
      </c>
      <c r="P19" s="22">
        <f t="shared" si="10"/>
        <v>8019100</v>
      </c>
    </row>
    <row r="20" spans="1:16" ht="51" x14ac:dyDescent="0.2">
      <c r="A20" s="37"/>
      <c r="B20" s="26" t="s">
        <v>42</v>
      </c>
      <c r="C20" s="27" t="s">
        <v>20</v>
      </c>
      <c r="D20" s="17" t="s">
        <v>43</v>
      </c>
      <c r="E20" s="17" t="s">
        <v>37</v>
      </c>
      <c r="F20" s="17"/>
      <c r="G20" s="17"/>
      <c r="H20" s="18">
        <v>-851400</v>
      </c>
      <c r="I20" s="18">
        <v>-70950</v>
      </c>
      <c r="J20" s="18">
        <f>[1]апрель!L19</f>
        <v>-324507.63000000006</v>
      </c>
      <c r="K20" s="18">
        <f>-1868.98-66.77-303.89-0.37</f>
        <v>-2240.0099999999998</v>
      </c>
      <c r="L20" s="19">
        <v>-690384.48</v>
      </c>
      <c r="M20" s="20">
        <f t="shared" si="4"/>
        <v>0</v>
      </c>
      <c r="N20" s="21">
        <v>0</v>
      </c>
      <c r="O20" s="20">
        <f t="shared" si="6"/>
        <v>3.1571670190274839</v>
      </c>
      <c r="P20" s="22">
        <f t="shared" si="10"/>
        <v>-851400</v>
      </c>
    </row>
    <row r="21" spans="1:16" x14ac:dyDescent="0.2">
      <c r="A21" s="37"/>
      <c r="B21" s="13" t="s">
        <v>44</v>
      </c>
      <c r="C21" s="14"/>
      <c r="D21" s="10" t="s">
        <v>45</v>
      </c>
      <c r="E21" s="10"/>
      <c r="F21" s="10"/>
      <c r="G21" s="10"/>
      <c r="H21" s="11">
        <f>H22+H30+H35+H33</f>
        <v>144452300</v>
      </c>
      <c r="I21" s="11">
        <f t="shared" ref="I21:O21" si="11">I22+I30+I35+I33</f>
        <v>11296016.66</v>
      </c>
      <c r="J21" s="11">
        <f t="shared" si="11"/>
        <v>66949994.730000004</v>
      </c>
      <c r="K21" s="11">
        <f t="shared" si="11"/>
        <v>19513404.660000004</v>
      </c>
      <c r="L21" s="11">
        <f t="shared" si="11"/>
        <v>133194505.01000001</v>
      </c>
      <c r="M21" s="11" t="e">
        <f t="shared" si="11"/>
        <v>#DIV/0!</v>
      </c>
      <c r="N21" s="11" t="e">
        <f t="shared" si="11"/>
        <v>#DIV/0!</v>
      </c>
      <c r="O21" s="11" t="e">
        <f t="shared" si="11"/>
        <v>#DIV/0!</v>
      </c>
      <c r="P21" s="11">
        <f>P22+P30+P35+P33</f>
        <v>144452300</v>
      </c>
    </row>
    <row r="22" spans="1:16" x14ac:dyDescent="0.2">
      <c r="A22" s="37"/>
      <c r="B22" s="13" t="s">
        <v>46</v>
      </c>
      <c r="C22" s="14"/>
      <c r="D22" s="10" t="s">
        <v>47</v>
      </c>
      <c r="E22" s="10"/>
      <c r="F22" s="10"/>
      <c r="G22" s="10"/>
      <c r="H22" s="11">
        <f>SUM(H23+H26+H29)</f>
        <v>125000000.00000001</v>
      </c>
      <c r="I22" s="11">
        <f t="shared" ref="I22:P22" si="12">SUM(I23+I26+I29)</f>
        <v>10000000</v>
      </c>
      <c r="J22" s="11">
        <f t="shared" si="12"/>
        <v>56729945.170000002</v>
      </c>
      <c r="K22" s="11">
        <f t="shared" si="12"/>
        <v>18934626.820000004</v>
      </c>
      <c r="L22" s="11">
        <f>SUM(L23+L26+L29)</f>
        <v>120281657.62</v>
      </c>
      <c r="M22" s="11" t="e">
        <f t="shared" si="12"/>
        <v>#DIV/0!</v>
      </c>
      <c r="N22" s="11" t="e">
        <f t="shared" si="12"/>
        <v>#DIV/0!</v>
      </c>
      <c r="O22" s="11" t="e">
        <f t="shared" si="12"/>
        <v>#DIV/0!</v>
      </c>
      <c r="P22" s="11">
        <f t="shared" si="12"/>
        <v>125000000.00000001</v>
      </c>
    </row>
    <row r="23" spans="1:16" x14ac:dyDescent="0.2">
      <c r="A23" s="37"/>
      <c r="B23" s="15" t="s">
        <v>48</v>
      </c>
      <c r="C23" s="16"/>
      <c r="D23" s="17" t="s">
        <v>49</v>
      </c>
      <c r="E23" s="17" t="s">
        <v>22</v>
      </c>
      <c r="F23" s="17"/>
      <c r="G23" s="17"/>
      <c r="H23" s="18">
        <f>H24+H25</f>
        <v>103200000</v>
      </c>
      <c r="I23" s="18">
        <f t="shared" ref="I23:O23" si="13">I24+I25</f>
        <v>8600000</v>
      </c>
      <c r="J23" s="18">
        <f t="shared" si="13"/>
        <v>48079329.630000003</v>
      </c>
      <c r="K23" s="18">
        <f t="shared" si="13"/>
        <v>16245966.980000002</v>
      </c>
      <c r="L23" s="18">
        <f>L24+L25</f>
        <v>104412726.69</v>
      </c>
      <c r="M23" s="18">
        <f t="shared" si="13"/>
        <v>101.17686695736434</v>
      </c>
      <c r="N23" s="18" t="e">
        <f t="shared" si="13"/>
        <v>#DIV/0!</v>
      </c>
      <c r="O23" s="18" t="e">
        <f t="shared" si="13"/>
        <v>#DIV/0!</v>
      </c>
      <c r="P23" s="18">
        <f>P24+P25</f>
        <v>103200000</v>
      </c>
    </row>
    <row r="24" spans="1:16" x14ac:dyDescent="0.2">
      <c r="A24" s="37"/>
      <c r="B24" s="15" t="s">
        <v>48</v>
      </c>
      <c r="C24" s="16" t="s">
        <v>20</v>
      </c>
      <c r="D24" s="17" t="s">
        <v>50</v>
      </c>
      <c r="E24" s="17" t="s">
        <v>22</v>
      </c>
      <c r="F24" s="17"/>
      <c r="G24" s="17"/>
      <c r="H24" s="18">
        <v>103200000</v>
      </c>
      <c r="I24" s="18">
        <v>8600000</v>
      </c>
      <c r="J24" s="18">
        <f>[1]апрель!L23</f>
        <v>48079329.640000001</v>
      </c>
      <c r="K24" s="18">
        <f>2086398.37+33566.42+21616+310527.35+3405.44+1120778.72+47729-21616+290015.6-1560.82+374104.64+30864.54+2702032.4+71644.11+193312.27+5696.57+269970+1898.09+2023+412064.42+3189.54+146000+1299751+5402.65+329697.83+864.65+2617505+142246.3+500-146000+480581.75+21672.48+500+2545223.83+50088.86+778458.72+15814.25</f>
        <v>16245966.980000002</v>
      </c>
      <c r="L24" s="19">
        <v>104414526.7</v>
      </c>
      <c r="M24" s="20">
        <f t="shared" si="4"/>
        <v>101.17686695736434</v>
      </c>
      <c r="N24" s="21">
        <f t="shared" ref="N24:N73" si="14">L24/H24*100</f>
        <v>101.17686695736434</v>
      </c>
      <c r="O24" s="20">
        <f t="shared" si="6"/>
        <v>188.90659279069772</v>
      </c>
      <c r="P24" s="22">
        <f>H24+Q24</f>
        <v>103200000</v>
      </c>
    </row>
    <row r="25" spans="1:16" ht="25.5" x14ac:dyDescent="0.2">
      <c r="A25" s="37"/>
      <c r="B25" s="15" t="s">
        <v>51</v>
      </c>
      <c r="C25" s="16" t="s">
        <v>20</v>
      </c>
      <c r="D25" s="17" t="s">
        <v>52</v>
      </c>
      <c r="E25" s="17" t="s">
        <v>22</v>
      </c>
      <c r="F25" s="17"/>
      <c r="G25" s="17"/>
      <c r="H25" s="18">
        <v>0</v>
      </c>
      <c r="I25" s="18">
        <v>0</v>
      </c>
      <c r="J25" s="18">
        <f>[1]апрель!L24</f>
        <v>-0.01</v>
      </c>
      <c r="K25" s="18">
        <f>0</f>
        <v>0</v>
      </c>
      <c r="L25" s="19">
        <v>-1800.01</v>
      </c>
      <c r="M25" s="20">
        <v>0</v>
      </c>
      <c r="N25" s="21" t="e">
        <f>L25/H25*100</f>
        <v>#DIV/0!</v>
      </c>
      <c r="O25" s="20" t="e">
        <f>K25/I25*100</f>
        <v>#DIV/0!</v>
      </c>
      <c r="P25" s="22">
        <f>H25+Q25</f>
        <v>0</v>
      </c>
    </row>
    <row r="26" spans="1:16" ht="25.5" x14ac:dyDescent="0.2">
      <c r="A26" s="37"/>
      <c r="B26" s="15" t="s">
        <v>53</v>
      </c>
      <c r="C26" s="16" t="s">
        <v>20</v>
      </c>
      <c r="D26" s="17" t="s">
        <v>54</v>
      </c>
      <c r="E26" s="17" t="s">
        <v>22</v>
      </c>
      <c r="F26" s="17"/>
      <c r="G26" s="17"/>
      <c r="H26" s="18">
        <f>H27+H28</f>
        <v>21799999.960000001</v>
      </c>
      <c r="I26" s="18">
        <f t="shared" ref="I26:P26" si="15">I27+I28</f>
        <v>1400000</v>
      </c>
      <c r="J26" s="18">
        <f t="shared" si="15"/>
        <v>8650615.5</v>
      </c>
      <c r="K26" s="18">
        <f t="shared" si="15"/>
        <v>2688659.8400000003</v>
      </c>
      <c r="L26" s="18">
        <f>L27+L28</f>
        <v>15868930.890000001</v>
      </c>
      <c r="M26" s="18" t="e">
        <f t="shared" si="15"/>
        <v>#DIV/0!</v>
      </c>
      <c r="N26" s="18" t="e">
        <f t="shared" si="15"/>
        <v>#DIV/0!</v>
      </c>
      <c r="O26" s="18" t="e">
        <f t="shared" si="15"/>
        <v>#DIV/0!</v>
      </c>
      <c r="P26" s="18">
        <f t="shared" si="15"/>
        <v>21799999.960000001</v>
      </c>
    </row>
    <row r="27" spans="1:16" s="28" customFormat="1" ht="38.25" x14ac:dyDescent="0.2">
      <c r="A27" s="67"/>
      <c r="B27" s="15" t="s">
        <v>55</v>
      </c>
      <c r="C27" s="16" t="s">
        <v>20</v>
      </c>
      <c r="D27" s="17" t="s">
        <v>56</v>
      </c>
      <c r="E27" s="17" t="s">
        <v>22</v>
      </c>
      <c r="F27" s="17"/>
      <c r="G27" s="17"/>
      <c r="H27" s="18">
        <v>21799999.960000001</v>
      </c>
      <c r="I27" s="18">
        <v>1400000</v>
      </c>
      <c r="J27" s="18">
        <f>[1]апрель!L26</f>
        <v>8650615.5</v>
      </c>
      <c r="K27" s="18">
        <f>1677+146746+1500+24698.39+44.52+383587+1014.86+145.49+278875.26+3658.33+504796+40059.98-40059.98+10870.88+190.29+1238390.34+33189.48+59276</f>
        <v>2688659.8400000003</v>
      </c>
      <c r="L27" s="19">
        <v>15868930.890000001</v>
      </c>
      <c r="M27" s="20">
        <f t="shared" si="4"/>
        <v>72.793261096868363</v>
      </c>
      <c r="N27" s="21">
        <f t="shared" si="14"/>
        <v>72.793261096868363</v>
      </c>
      <c r="O27" s="20">
        <f t="shared" si="6"/>
        <v>192.04713142857145</v>
      </c>
      <c r="P27" s="22">
        <f>H27+Q27</f>
        <v>21799999.960000001</v>
      </c>
    </row>
    <row r="28" spans="1:16" s="28" customFormat="1" ht="25.5" x14ac:dyDescent="0.2">
      <c r="A28" s="67"/>
      <c r="B28" s="15" t="s">
        <v>57</v>
      </c>
      <c r="C28" s="16" t="s">
        <v>20</v>
      </c>
      <c r="D28" s="17" t="s">
        <v>58</v>
      </c>
      <c r="E28" s="17" t="s">
        <v>22</v>
      </c>
      <c r="F28" s="17"/>
      <c r="G28" s="17"/>
      <c r="H28" s="18">
        <f>0</f>
        <v>0</v>
      </c>
      <c r="I28" s="18">
        <v>0</v>
      </c>
      <c r="J28" s="18">
        <f>[1]апрель!L27</f>
        <v>0</v>
      </c>
      <c r="K28" s="18">
        <f>0</f>
        <v>0</v>
      </c>
      <c r="L28" s="19">
        <v>0</v>
      </c>
      <c r="M28" s="20" t="e">
        <f>IF(N28&gt;200,"свыше200,0",N28)</f>
        <v>#DIV/0!</v>
      </c>
      <c r="N28" s="21" t="e">
        <f>L28/H28*100</f>
        <v>#DIV/0!</v>
      </c>
      <c r="O28" s="20" t="e">
        <f>K28/I28*100</f>
        <v>#DIV/0!</v>
      </c>
      <c r="P28" s="22">
        <f t="shared" ref="P28:P29" si="16">H28+Q28</f>
        <v>0</v>
      </c>
    </row>
    <row r="29" spans="1:16" s="28" customFormat="1" ht="25.5" x14ac:dyDescent="0.2">
      <c r="A29" s="67"/>
      <c r="B29" s="15" t="s">
        <v>59</v>
      </c>
      <c r="C29" s="16" t="s">
        <v>20</v>
      </c>
      <c r="D29" s="17" t="s">
        <v>60</v>
      </c>
      <c r="E29" s="17" t="s">
        <v>22</v>
      </c>
      <c r="F29" s="17"/>
      <c r="G29" s="17"/>
      <c r="H29" s="18">
        <v>0.04</v>
      </c>
      <c r="I29" s="18">
        <v>0</v>
      </c>
      <c r="J29" s="18">
        <f>[1]апрель!L28</f>
        <v>0.04</v>
      </c>
      <c r="K29" s="18">
        <f>0</f>
        <v>0</v>
      </c>
      <c r="L29" s="19">
        <v>0.04</v>
      </c>
      <c r="M29" s="20">
        <f>IF(N29&gt;200,"свыше200,0",N29)</f>
        <v>100</v>
      </c>
      <c r="N29" s="21">
        <f>L29/H29*100</f>
        <v>100</v>
      </c>
      <c r="O29" s="20" t="e">
        <f>K29/I29*100</f>
        <v>#DIV/0!</v>
      </c>
      <c r="P29" s="22">
        <f t="shared" si="16"/>
        <v>0.04</v>
      </c>
    </row>
    <row r="30" spans="1:16" x14ac:dyDescent="0.2">
      <c r="A30" s="37"/>
      <c r="B30" s="13" t="s">
        <v>61</v>
      </c>
      <c r="C30" s="14"/>
      <c r="D30" s="10" t="s">
        <v>62</v>
      </c>
      <c r="E30" s="10"/>
      <c r="F30" s="10"/>
      <c r="G30" s="10"/>
      <c r="H30" s="11">
        <f>H31+H32</f>
        <v>13750100</v>
      </c>
      <c r="I30" s="11">
        <f t="shared" ref="I30:L30" si="17">I31+I32</f>
        <v>1145833.33</v>
      </c>
      <c r="J30" s="11">
        <f t="shared" si="17"/>
        <v>6578021.6499999994</v>
      </c>
      <c r="K30" s="11">
        <f t="shared" si="17"/>
        <v>246638.25999999998</v>
      </c>
      <c r="L30" s="11">
        <f t="shared" si="17"/>
        <v>7073832.0499999998</v>
      </c>
      <c r="M30" s="11" t="e">
        <f t="shared" ref="M30:P30" si="18">M31+M32</f>
        <v>#VALUE!</v>
      </c>
      <c r="N30" s="11">
        <f t="shared" si="18"/>
        <v>3354.6420278545452</v>
      </c>
      <c r="O30" s="11" t="e">
        <f t="shared" si="18"/>
        <v>#DIV/0!</v>
      </c>
      <c r="P30" s="11">
        <f t="shared" si="18"/>
        <v>13750100</v>
      </c>
    </row>
    <row r="31" spans="1:16" x14ac:dyDescent="0.2">
      <c r="A31" s="37"/>
      <c r="B31" s="15" t="s">
        <v>61</v>
      </c>
      <c r="C31" s="16" t="s">
        <v>20</v>
      </c>
      <c r="D31" s="17" t="s">
        <v>63</v>
      </c>
      <c r="E31" s="17" t="s">
        <v>22</v>
      </c>
      <c r="F31" s="17"/>
      <c r="G31" s="17"/>
      <c r="H31" s="18">
        <v>13750000</v>
      </c>
      <c r="I31" s="18">
        <v>1145833.33</v>
      </c>
      <c r="J31" s="18">
        <f>[1]апрель!L30</f>
        <v>6577924.6799999997</v>
      </c>
      <c r="K31" s="18">
        <f>9594.57+272.51+1461.6+5412.25+35.03-1000+486.57+0.82-17101.9+227.18+13124+31.46+49756.72+4611.65+3966.98+53803.92+903.85+1162.8+19222.9+165.93+4240.8-25.21+36383.71+1305.17+1162.8+5137.7+1+50+19440.38+458.6+33691.41+203.74-1550.67</f>
        <v>246638.27</v>
      </c>
      <c r="L31" s="19">
        <v>7070528.8300000001</v>
      </c>
      <c r="M31" s="20">
        <f t="shared" si="4"/>
        <v>51.422027854545462</v>
      </c>
      <c r="N31" s="21">
        <f t="shared" si="14"/>
        <v>51.422027854545462</v>
      </c>
      <c r="O31" s="20">
        <f t="shared" si="6"/>
        <v>21.524794535344853</v>
      </c>
      <c r="P31" s="22">
        <f>H31+Q31</f>
        <v>13750000</v>
      </c>
    </row>
    <row r="32" spans="1:16" ht="25.5" x14ac:dyDescent="0.2">
      <c r="A32" s="37"/>
      <c r="B32" s="15" t="s">
        <v>64</v>
      </c>
      <c r="C32" s="16" t="s">
        <v>20</v>
      </c>
      <c r="D32" s="17" t="s">
        <v>65</v>
      </c>
      <c r="E32" s="17" t="s">
        <v>22</v>
      </c>
      <c r="F32" s="17"/>
      <c r="G32" s="17"/>
      <c r="H32" s="18">
        <v>100</v>
      </c>
      <c r="I32" s="18">
        <v>0</v>
      </c>
      <c r="J32" s="18">
        <f>[1]апрель!L31</f>
        <v>96.970000000000013</v>
      </c>
      <c r="K32" s="18">
        <f>-0.01</f>
        <v>-0.01</v>
      </c>
      <c r="L32" s="19">
        <v>3303.22</v>
      </c>
      <c r="M32" s="20" t="str">
        <f t="shared" si="4"/>
        <v>свыше200,0</v>
      </c>
      <c r="N32" s="21">
        <f>L32/H32*100</f>
        <v>3303.22</v>
      </c>
      <c r="O32" s="20" t="e">
        <f>K32/I32*100</f>
        <v>#DIV/0!</v>
      </c>
      <c r="P32" s="22">
        <f>H32+Q32</f>
        <v>100</v>
      </c>
    </row>
    <row r="33" spans="1:16" x14ac:dyDescent="0.2">
      <c r="A33" s="37"/>
      <c r="B33" s="24" t="s">
        <v>66</v>
      </c>
      <c r="C33" s="25"/>
      <c r="D33" s="10" t="s">
        <v>67</v>
      </c>
      <c r="E33" s="10"/>
      <c r="F33" s="10"/>
      <c r="G33" s="10"/>
      <c r="H33" s="11">
        <f>H34</f>
        <v>110800</v>
      </c>
      <c r="I33" s="11">
        <f t="shared" ref="I33:L33" si="19">I34</f>
        <v>25900</v>
      </c>
      <c r="J33" s="11">
        <f t="shared" si="19"/>
        <v>24077</v>
      </c>
      <c r="K33" s="11">
        <f t="shared" si="19"/>
        <v>0</v>
      </c>
      <c r="L33" s="11">
        <f t="shared" si="19"/>
        <v>24077</v>
      </c>
      <c r="M33" s="11">
        <f t="shared" ref="M33:P33" si="20">M34</f>
        <v>21.73014440433213</v>
      </c>
      <c r="N33" s="11">
        <f t="shared" si="20"/>
        <v>21.73014440433213</v>
      </c>
      <c r="O33" s="11">
        <f t="shared" si="20"/>
        <v>0</v>
      </c>
      <c r="P33" s="11">
        <f t="shared" si="20"/>
        <v>110800</v>
      </c>
    </row>
    <row r="34" spans="1:16" x14ac:dyDescent="0.2">
      <c r="A34" s="37"/>
      <c r="B34" s="29" t="s">
        <v>66</v>
      </c>
      <c r="C34" s="30" t="s">
        <v>20</v>
      </c>
      <c r="D34" s="17" t="s">
        <v>68</v>
      </c>
      <c r="E34" s="17" t="s">
        <v>22</v>
      </c>
      <c r="F34" s="17"/>
      <c r="G34" s="17"/>
      <c r="H34" s="18">
        <v>110800</v>
      </c>
      <c r="I34" s="18">
        <v>25900</v>
      </c>
      <c r="J34" s="18">
        <f>[1]апрель!L33</f>
        <v>24077</v>
      </c>
      <c r="K34" s="18">
        <f>0</f>
        <v>0</v>
      </c>
      <c r="L34" s="19">
        <v>24077</v>
      </c>
      <c r="M34" s="20">
        <f t="shared" si="4"/>
        <v>21.73014440433213</v>
      </c>
      <c r="N34" s="21">
        <f t="shared" si="14"/>
        <v>21.73014440433213</v>
      </c>
      <c r="O34" s="20">
        <f t="shared" si="6"/>
        <v>0</v>
      </c>
      <c r="P34" s="22">
        <f>H34+Q34</f>
        <v>110800</v>
      </c>
    </row>
    <row r="35" spans="1:16" x14ac:dyDescent="0.2">
      <c r="A35" s="37"/>
      <c r="B35" s="24" t="s">
        <v>69</v>
      </c>
      <c r="C35" s="25"/>
      <c r="D35" s="10" t="s">
        <v>70</v>
      </c>
      <c r="E35" s="10"/>
      <c r="F35" s="10"/>
      <c r="G35" s="10"/>
      <c r="H35" s="11">
        <f>H36</f>
        <v>5591400</v>
      </c>
      <c r="I35" s="11">
        <f t="shared" ref="I35:P35" si="21">I36</f>
        <v>124283.33</v>
      </c>
      <c r="J35" s="11">
        <f t="shared" si="21"/>
        <v>3617950.91</v>
      </c>
      <c r="K35" s="11">
        <f t="shared" si="21"/>
        <v>332139.57999999996</v>
      </c>
      <c r="L35" s="11">
        <f t="shared" si="21"/>
        <v>5814938.3399999999</v>
      </c>
      <c r="M35" s="11">
        <f t="shared" si="21"/>
        <v>103.99789569696318</v>
      </c>
      <c r="N35" s="11">
        <f t="shared" si="21"/>
        <v>103.99789569696318</v>
      </c>
      <c r="O35" s="11">
        <f t="shared" si="21"/>
        <v>267.24386931055028</v>
      </c>
      <c r="P35" s="11">
        <f t="shared" si="21"/>
        <v>5591400</v>
      </c>
    </row>
    <row r="36" spans="1:16" ht="25.5" x14ac:dyDescent="0.2">
      <c r="A36" s="37"/>
      <c r="B36" s="31" t="s">
        <v>71</v>
      </c>
      <c r="C36" s="27" t="s">
        <v>20</v>
      </c>
      <c r="D36" s="17" t="s">
        <v>72</v>
      </c>
      <c r="E36" s="17" t="s">
        <v>22</v>
      </c>
      <c r="F36" s="17"/>
      <c r="G36" s="17"/>
      <c r="H36" s="18">
        <v>5591400</v>
      </c>
      <c r="I36" s="18">
        <v>124283.33</v>
      </c>
      <c r="J36" s="18">
        <f>[1]апрель!L35</f>
        <v>3617950.91</v>
      </c>
      <c r="K36" s="18">
        <f>32842.1+17572.9+51.66+1.95+6050+9476.64+28.19+49104+202.43+9741.01+9741+4658-35.8+177638.99+374.79+13600+131.42+919.98+40.32</f>
        <v>332139.57999999996</v>
      </c>
      <c r="L36" s="19">
        <v>5814938.3399999999</v>
      </c>
      <c r="M36" s="20">
        <f t="shared" si="4"/>
        <v>103.99789569696318</v>
      </c>
      <c r="N36" s="21">
        <f t="shared" si="14"/>
        <v>103.99789569696318</v>
      </c>
      <c r="O36" s="20">
        <f t="shared" si="6"/>
        <v>267.24386931055028</v>
      </c>
      <c r="P36" s="22">
        <v>5591400</v>
      </c>
    </row>
    <row r="37" spans="1:16" x14ac:dyDescent="0.2">
      <c r="A37" s="37"/>
      <c r="B37" s="13" t="s">
        <v>73</v>
      </c>
      <c r="C37" s="14"/>
      <c r="D37" s="10" t="s">
        <v>74</v>
      </c>
      <c r="E37" s="10"/>
      <c r="F37" s="10"/>
      <c r="G37" s="10"/>
      <c r="H37" s="11">
        <f>H38+H43+H40</f>
        <v>87744000</v>
      </c>
      <c r="I37" s="11">
        <f t="shared" ref="I37:P37" si="22">I38+I43+I40</f>
        <v>700000</v>
      </c>
      <c r="J37" s="11">
        <f t="shared" si="22"/>
        <v>30993637.599999994</v>
      </c>
      <c r="K37" s="11">
        <f t="shared" si="22"/>
        <v>1889233.2599999998</v>
      </c>
      <c r="L37" s="11">
        <f>L38+L43+L40</f>
        <v>52013651.18</v>
      </c>
      <c r="M37" s="11">
        <f t="shared" si="22"/>
        <v>231.22563725463044</v>
      </c>
      <c r="N37" s="11">
        <f t="shared" si="22"/>
        <v>231.22563725463044</v>
      </c>
      <c r="O37" s="11">
        <f t="shared" si="22"/>
        <v>1615.453313333333</v>
      </c>
      <c r="P37" s="11">
        <f t="shared" si="22"/>
        <v>87744000</v>
      </c>
    </row>
    <row r="38" spans="1:16" x14ac:dyDescent="0.2">
      <c r="A38" s="37"/>
      <c r="B38" s="13" t="s">
        <v>75</v>
      </c>
      <c r="C38" s="14"/>
      <c r="D38" s="10" t="s">
        <v>76</v>
      </c>
      <c r="E38" s="10"/>
      <c r="F38" s="10"/>
      <c r="G38" s="10"/>
      <c r="H38" s="11">
        <f>H39</f>
        <v>16862000</v>
      </c>
      <c r="I38" s="11">
        <f t="shared" ref="I38:P38" si="23">I39</f>
        <v>300000</v>
      </c>
      <c r="J38" s="11">
        <f t="shared" si="23"/>
        <v>3301115.7399999998</v>
      </c>
      <c r="K38" s="11">
        <f t="shared" si="23"/>
        <v>410669.92</v>
      </c>
      <c r="L38" s="11">
        <f t="shared" si="23"/>
        <v>5485052.4500000002</v>
      </c>
      <c r="M38" s="11">
        <f t="shared" si="23"/>
        <v>32.529073953267698</v>
      </c>
      <c r="N38" s="11">
        <f t="shared" si="23"/>
        <v>32.529073953267698</v>
      </c>
      <c r="O38" s="11">
        <f t="shared" si="23"/>
        <v>136.88997333333333</v>
      </c>
      <c r="P38" s="11">
        <f t="shared" si="23"/>
        <v>16862000</v>
      </c>
    </row>
    <row r="39" spans="1:16" ht="25.5" x14ac:dyDescent="0.2">
      <c r="A39" s="37"/>
      <c r="B39" s="32" t="s">
        <v>77</v>
      </c>
      <c r="C39" s="33" t="s">
        <v>20</v>
      </c>
      <c r="D39" s="17" t="s">
        <v>78</v>
      </c>
      <c r="E39" s="17" t="s">
        <v>22</v>
      </c>
      <c r="F39" s="17"/>
      <c r="G39" s="17"/>
      <c r="H39" s="18">
        <v>16862000</v>
      </c>
      <c r="I39" s="18">
        <v>300000</v>
      </c>
      <c r="J39" s="18">
        <f>[1]апрель!L38</f>
        <v>3301115.7399999998</v>
      </c>
      <c r="K39" s="18">
        <f>15726.98+749.08+7648+645.38+3162+224.82+3620+293.02+9500+183.1+0.16+24906.59+1114.15+2688.47+55.7+15328.66+660.72+4189-164.46+21882.8+678.9+10505.46+211.45+29047.54+2596.68+10420+312.95+234123.8+1149.4+8861+348.57</f>
        <v>410669.92</v>
      </c>
      <c r="L39" s="19">
        <v>5485052.4500000002</v>
      </c>
      <c r="M39" s="20">
        <f t="shared" si="4"/>
        <v>32.529073953267698</v>
      </c>
      <c r="N39" s="21">
        <f t="shared" si="14"/>
        <v>32.529073953267698</v>
      </c>
      <c r="O39" s="20">
        <f t="shared" si="6"/>
        <v>136.88997333333333</v>
      </c>
      <c r="P39" s="22">
        <f>H39+Q39</f>
        <v>16862000</v>
      </c>
    </row>
    <row r="40" spans="1:16" x14ac:dyDescent="0.2">
      <c r="A40" s="37"/>
      <c r="B40" s="13" t="s">
        <v>79</v>
      </c>
      <c r="C40" s="14"/>
      <c r="D40" s="10" t="s">
        <v>80</v>
      </c>
      <c r="E40" s="10"/>
      <c r="F40" s="10"/>
      <c r="G40" s="10"/>
      <c r="H40" s="11">
        <f>H41+H42</f>
        <v>18100000</v>
      </c>
      <c r="I40" s="11">
        <f t="shared" ref="I40:P40" si="24">I41+I42</f>
        <v>200000</v>
      </c>
      <c r="J40" s="11">
        <f t="shared" si="24"/>
        <v>3872271.7</v>
      </c>
      <c r="K40" s="11">
        <f t="shared" si="24"/>
        <v>937217.04999999993</v>
      </c>
      <c r="L40" s="11">
        <f t="shared" si="24"/>
        <v>8576933.0600000005</v>
      </c>
      <c r="M40" s="11">
        <f t="shared" si="24"/>
        <v>110.5049858221344</v>
      </c>
      <c r="N40" s="11">
        <f t="shared" si="24"/>
        <v>110.5049858221344</v>
      </c>
      <c r="O40" s="11">
        <f t="shared" si="24"/>
        <v>937.21704999999986</v>
      </c>
      <c r="P40" s="11">
        <f t="shared" si="24"/>
        <v>18100000</v>
      </c>
    </row>
    <row r="41" spans="1:16" x14ac:dyDescent="0.2">
      <c r="A41" s="37"/>
      <c r="B41" s="15" t="s">
        <v>81</v>
      </c>
      <c r="C41" s="16" t="s">
        <v>20</v>
      </c>
      <c r="D41" s="17" t="s">
        <v>82</v>
      </c>
      <c r="E41" s="17" t="s">
        <v>22</v>
      </c>
      <c r="F41" s="17"/>
      <c r="G41" s="17"/>
      <c r="H41" s="18">
        <v>6600000</v>
      </c>
      <c r="I41" s="18">
        <v>100000</v>
      </c>
      <c r="J41" s="18">
        <f>[1]апрель!L40</f>
        <v>1973137.83</v>
      </c>
      <c r="K41" s="18">
        <f>420093.3+85967.2+2460.85+4052.99+173727.8-85967.2-35.91+35.91+128790.6+19291.8+128.6+235+15899.08+785.11</f>
        <v>765465.12999999989</v>
      </c>
      <c r="L41" s="19">
        <v>5564393.0700000003</v>
      </c>
      <c r="M41" s="20">
        <f t="shared" si="4"/>
        <v>84.308985909090921</v>
      </c>
      <c r="N41" s="21">
        <f t="shared" si="14"/>
        <v>84.308985909090921</v>
      </c>
      <c r="O41" s="20">
        <f t="shared" si="6"/>
        <v>765.46512999999982</v>
      </c>
      <c r="P41" s="34">
        <f>H41+Q41</f>
        <v>6600000</v>
      </c>
    </row>
    <row r="42" spans="1:16" x14ac:dyDescent="0.2">
      <c r="A42" s="37"/>
      <c r="B42" s="15" t="s">
        <v>83</v>
      </c>
      <c r="C42" s="16" t="s">
        <v>20</v>
      </c>
      <c r="D42" s="17" t="s">
        <v>84</v>
      </c>
      <c r="E42" s="17" t="s">
        <v>22</v>
      </c>
      <c r="F42" s="17"/>
      <c r="G42" s="17"/>
      <c r="H42" s="18">
        <v>11500000</v>
      </c>
      <c r="I42" s="18">
        <v>100000</v>
      </c>
      <c r="J42" s="18">
        <f>[1]апрель!L41</f>
        <v>1899133.87</v>
      </c>
      <c r="K42" s="18">
        <f>5542.22+358.54+5213.94+189.68+3287.8+66.99+1054.2-19.75+37809.33+7633.32+23.4+0.38+21446.61+8628.97+6574.92+77.24+8411.7+1185.62+794.33+18.35+9723.48+1131.18+7312.63+84.13+7591.27+369.39+21955.8+699.69+3420.3+103.17+10679.16+383.93</f>
        <v>171751.92</v>
      </c>
      <c r="L42" s="19">
        <v>3012539.99</v>
      </c>
      <c r="M42" s="20">
        <f t="shared" si="4"/>
        <v>26.195999913043483</v>
      </c>
      <c r="N42" s="21">
        <f t="shared" si="14"/>
        <v>26.195999913043483</v>
      </c>
      <c r="O42" s="20">
        <f t="shared" si="6"/>
        <v>171.75192000000001</v>
      </c>
      <c r="P42" s="34">
        <f>H42+Q42</f>
        <v>11500000</v>
      </c>
    </row>
    <row r="43" spans="1:16" x14ac:dyDescent="0.2">
      <c r="A43" s="37"/>
      <c r="B43" s="13" t="s">
        <v>85</v>
      </c>
      <c r="C43" s="14"/>
      <c r="D43" s="10" t="s">
        <v>86</v>
      </c>
      <c r="E43" s="10"/>
      <c r="F43" s="10"/>
      <c r="G43" s="10"/>
      <c r="H43" s="11">
        <f>SUM(H44:H45)</f>
        <v>52782000</v>
      </c>
      <c r="I43" s="11">
        <f t="shared" ref="I43:P43" si="25">SUM(I44:I45)</f>
        <v>200000</v>
      </c>
      <c r="J43" s="11">
        <f t="shared" si="25"/>
        <v>23820250.159999996</v>
      </c>
      <c r="K43" s="11">
        <f t="shared" si="25"/>
        <v>541346.29</v>
      </c>
      <c r="L43" s="11">
        <f t="shared" si="25"/>
        <v>37951665.669999994</v>
      </c>
      <c r="M43" s="11">
        <f t="shared" si="25"/>
        <v>88.191577479228329</v>
      </c>
      <c r="N43" s="11">
        <f t="shared" si="25"/>
        <v>88.191577479228329</v>
      </c>
      <c r="O43" s="11">
        <f t="shared" si="25"/>
        <v>541.34628999999995</v>
      </c>
      <c r="P43" s="11">
        <f t="shared" si="25"/>
        <v>52782000</v>
      </c>
    </row>
    <row r="44" spans="1:16" ht="25.5" x14ac:dyDescent="0.2">
      <c r="A44" s="37"/>
      <c r="B44" s="15" t="s">
        <v>87</v>
      </c>
      <c r="C44" s="16" t="s">
        <v>20</v>
      </c>
      <c r="D44" s="17" t="s">
        <v>88</v>
      </c>
      <c r="E44" s="17" t="s">
        <v>22</v>
      </c>
      <c r="F44" s="17"/>
      <c r="G44" s="17"/>
      <c r="H44" s="18">
        <v>47077600</v>
      </c>
      <c r="I44" s="18">
        <v>100000</v>
      </c>
      <c r="J44" s="18">
        <f>[1]апрель!L43</f>
        <v>23599170.579999998</v>
      </c>
      <c r="K44" s="18">
        <f>150000+121174+114906+15083+383.88+99685</f>
        <v>501231.88</v>
      </c>
      <c r="L44" s="19">
        <v>37459885.369999997</v>
      </c>
      <c r="M44" s="20">
        <f t="shared" si="4"/>
        <v>79.570507778646316</v>
      </c>
      <c r="N44" s="21">
        <f t="shared" si="14"/>
        <v>79.570507778646316</v>
      </c>
      <c r="O44" s="20">
        <f t="shared" si="6"/>
        <v>501.23187999999999</v>
      </c>
      <c r="P44" s="22">
        <f>H44+Q44</f>
        <v>47077600</v>
      </c>
    </row>
    <row r="45" spans="1:16" ht="25.5" x14ac:dyDescent="0.2">
      <c r="A45" s="37"/>
      <c r="B45" s="15" t="s">
        <v>89</v>
      </c>
      <c r="C45" s="16" t="s">
        <v>20</v>
      </c>
      <c r="D45" s="17" t="s">
        <v>90</v>
      </c>
      <c r="E45" s="17" t="s">
        <v>22</v>
      </c>
      <c r="F45" s="17"/>
      <c r="G45" s="17"/>
      <c r="H45" s="18">
        <v>5704400</v>
      </c>
      <c r="I45" s="18">
        <v>100000</v>
      </c>
      <c r="J45" s="18">
        <f>[1]апрель!L44</f>
        <v>221079.57999999978</v>
      </c>
      <c r="K45" s="18">
        <f>310+6.12+0.19+715+178.12+4.77-15066-62.26+2225.45+130.17+1.47+30487.33+16.64+4588.3+0.9-8.55+697.37+1703.22+33.18+777.25+109.03+1041+25.65+11991.64+0.73+201+6.69</f>
        <v>40114.410000000011</v>
      </c>
      <c r="L45" s="19">
        <v>491780.3</v>
      </c>
      <c r="M45" s="20">
        <f t="shared" si="4"/>
        <v>8.6210697005820069</v>
      </c>
      <c r="N45" s="21">
        <f t="shared" si="14"/>
        <v>8.6210697005820069</v>
      </c>
      <c r="O45" s="20">
        <f t="shared" si="6"/>
        <v>40.114410000000014</v>
      </c>
      <c r="P45" s="22">
        <f>H45+Q45</f>
        <v>5704400</v>
      </c>
    </row>
    <row r="46" spans="1:16" x14ac:dyDescent="0.2">
      <c r="A46" s="37"/>
      <c r="B46" s="13" t="s">
        <v>91</v>
      </c>
      <c r="C46" s="14"/>
      <c r="D46" s="10" t="s">
        <v>92</v>
      </c>
      <c r="E46" s="10"/>
      <c r="F46" s="10"/>
      <c r="G46" s="10"/>
      <c r="H46" s="11">
        <f>H47+H49+H51</f>
        <v>5925600</v>
      </c>
      <c r="I46" s="11">
        <f t="shared" ref="I46:P46" si="26">I47+I49+I51</f>
        <v>484000</v>
      </c>
      <c r="J46" s="11">
        <f t="shared" si="26"/>
        <v>2238597.8200000003</v>
      </c>
      <c r="K46" s="11">
        <f t="shared" si="26"/>
        <v>435186.78</v>
      </c>
      <c r="L46" s="11">
        <f t="shared" si="26"/>
        <v>5013021.8899999997</v>
      </c>
      <c r="M46" s="11">
        <f t="shared" si="26"/>
        <v>305.63341464669747</v>
      </c>
      <c r="N46" s="11">
        <f t="shared" si="26"/>
        <v>305.63341464669747</v>
      </c>
      <c r="O46" s="11" t="e">
        <f t="shared" si="26"/>
        <v>#DIV/0!</v>
      </c>
      <c r="P46" s="11">
        <f t="shared" si="26"/>
        <v>5925600</v>
      </c>
    </row>
    <row r="47" spans="1:16" x14ac:dyDescent="0.2">
      <c r="A47" s="37"/>
      <c r="B47" s="13" t="s">
        <v>93</v>
      </c>
      <c r="C47" s="14"/>
      <c r="D47" s="10" t="s">
        <v>94</v>
      </c>
      <c r="E47" s="10"/>
      <c r="F47" s="10"/>
      <c r="G47" s="10"/>
      <c r="H47" s="11">
        <f>H48</f>
        <v>5795600</v>
      </c>
      <c r="I47" s="11">
        <f t="shared" ref="I47:P47" si="27">I48</f>
        <v>484000</v>
      </c>
      <c r="J47" s="11">
        <f t="shared" si="27"/>
        <v>2230284.39</v>
      </c>
      <c r="K47" s="11">
        <f t="shared" si="27"/>
        <v>435186.78</v>
      </c>
      <c r="L47" s="11">
        <f t="shared" si="27"/>
        <v>4855708.46</v>
      </c>
      <c r="M47" s="11">
        <f t="shared" si="27"/>
        <v>83.782670646697497</v>
      </c>
      <c r="N47" s="11">
        <f t="shared" si="27"/>
        <v>83.782670646697497</v>
      </c>
      <c r="O47" s="11">
        <f t="shared" si="27"/>
        <v>89.914623966942159</v>
      </c>
      <c r="P47" s="11">
        <f t="shared" si="27"/>
        <v>5795600</v>
      </c>
    </row>
    <row r="48" spans="1:16" ht="25.5" x14ac:dyDescent="0.2">
      <c r="A48" s="37"/>
      <c r="B48" s="15" t="s">
        <v>95</v>
      </c>
      <c r="C48" s="16" t="s">
        <v>20</v>
      </c>
      <c r="D48" s="17" t="s">
        <v>96</v>
      </c>
      <c r="E48" s="17" t="s">
        <v>22</v>
      </c>
      <c r="F48" s="17"/>
      <c r="G48" s="17"/>
      <c r="H48" s="18">
        <v>5795600</v>
      </c>
      <c r="I48" s="18">
        <v>484000</v>
      </c>
      <c r="J48" s="18">
        <f>[1]апрель!L47</f>
        <v>2230284.39</v>
      </c>
      <c r="K48" s="18">
        <f>46725.76-3170.02+11614.2+9214.11-4215.76+18555.02+228.15+11558.89+500+4400+48520.77+48508.47+673.32-228.15+40957.75+3672.02+5200+45148.01+6.76+14857.36+15028.09+4166.29+49858.24+1010.71-5200+7393.17+145.84+642.05+26216.91+6114.69-4166.29+5607.74+15043.65+10413+828.08-642.05</f>
        <v>435186.78</v>
      </c>
      <c r="L48" s="19">
        <v>4855708.46</v>
      </c>
      <c r="M48" s="20">
        <f t="shared" si="4"/>
        <v>83.782670646697497</v>
      </c>
      <c r="N48" s="21">
        <f t="shared" si="14"/>
        <v>83.782670646697497</v>
      </c>
      <c r="O48" s="20">
        <f t="shared" si="6"/>
        <v>89.914623966942159</v>
      </c>
      <c r="P48" s="22">
        <f>H48+Q48</f>
        <v>5795600</v>
      </c>
    </row>
    <row r="49" spans="1:16" ht="38.25" x14ac:dyDescent="0.2">
      <c r="A49" s="37"/>
      <c r="B49" s="13" t="s">
        <v>97</v>
      </c>
      <c r="C49" s="14"/>
      <c r="D49" s="10" t="s">
        <v>98</v>
      </c>
      <c r="E49" s="10"/>
      <c r="F49" s="10"/>
      <c r="G49" s="10"/>
      <c r="H49" s="11">
        <f>H50</f>
        <v>125000</v>
      </c>
      <c r="I49" s="11">
        <f t="shared" ref="I49:P49" si="28">I50</f>
        <v>0</v>
      </c>
      <c r="J49" s="11">
        <f t="shared" si="28"/>
        <v>8313.43</v>
      </c>
      <c r="K49" s="11">
        <f t="shared" si="28"/>
        <v>0</v>
      </c>
      <c r="L49" s="11">
        <f t="shared" si="28"/>
        <v>152313.43</v>
      </c>
      <c r="M49" s="11">
        <f t="shared" si="28"/>
        <v>121.85074400000001</v>
      </c>
      <c r="N49" s="11">
        <f t="shared" si="28"/>
        <v>121.85074400000001</v>
      </c>
      <c r="O49" s="11" t="e">
        <f t="shared" si="28"/>
        <v>#DIV/0!</v>
      </c>
      <c r="P49" s="11">
        <f t="shared" si="28"/>
        <v>125000</v>
      </c>
    </row>
    <row r="50" spans="1:16" ht="38.25" x14ac:dyDescent="0.2">
      <c r="A50" s="37"/>
      <c r="B50" s="15" t="s">
        <v>99</v>
      </c>
      <c r="C50" s="16" t="s">
        <v>20</v>
      </c>
      <c r="D50" s="17" t="s">
        <v>100</v>
      </c>
      <c r="E50" s="17" t="s">
        <v>101</v>
      </c>
      <c r="F50" s="17"/>
      <c r="G50" s="17"/>
      <c r="H50" s="18">
        <v>125000</v>
      </c>
      <c r="I50" s="18">
        <v>0</v>
      </c>
      <c r="J50" s="18">
        <f>[1]апрель!L49</f>
        <v>8313.43</v>
      </c>
      <c r="K50" s="18">
        <f>0</f>
        <v>0</v>
      </c>
      <c r="L50" s="19">
        <v>152313.43</v>
      </c>
      <c r="M50" s="20">
        <f t="shared" si="4"/>
        <v>121.85074400000001</v>
      </c>
      <c r="N50" s="21">
        <f>L50/H50*100</f>
        <v>121.85074400000001</v>
      </c>
      <c r="O50" s="20" t="e">
        <f>K50/I50*100</f>
        <v>#DIV/0!</v>
      </c>
      <c r="P50" s="22">
        <v>125000</v>
      </c>
    </row>
    <row r="51" spans="1:16" x14ac:dyDescent="0.2">
      <c r="A51" s="37"/>
      <c r="B51" s="13" t="s">
        <v>102</v>
      </c>
      <c r="C51" s="14"/>
      <c r="D51" s="10" t="s">
        <v>103</v>
      </c>
      <c r="E51" s="10"/>
      <c r="F51" s="10"/>
      <c r="G51" s="10"/>
      <c r="H51" s="11">
        <f>H52</f>
        <v>5000</v>
      </c>
      <c r="I51" s="11">
        <f t="shared" ref="I51:P51" si="29">I52</f>
        <v>0</v>
      </c>
      <c r="J51" s="11">
        <f t="shared" si="29"/>
        <v>0</v>
      </c>
      <c r="K51" s="11">
        <f t="shared" si="29"/>
        <v>0</v>
      </c>
      <c r="L51" s="11">
        <f t="shared" si="29"/>
        <v>5000</v>
      </c>
      <c r="M51" s="11">
        <f t="shared" si="29"/>
        <v>100</v>
      </c>
      <c r="N51" s="11">
        <f t="shared" si="29"/>
        <v>100</v>
      </c>
      <c r="O51" s="11" t="e">
        <f t="shared" si="29"/>
        <v>#DIV/0!</v>
      </c>
      <c r="P51" s="11">
        <f t="shared" si="29"/>
        <v>5000</v>
      </c>
    </row>
    <row r="52" spans="1:16" x14ac:dyDescent="0.2">
      <c r="A52" s="37"/>
      <c r="B52" s="15" t="s">
        <v>102</v>
      </c>
      <c r="C52" s="16" t="s">
        <v>20</v>
      </c>
      <c r="D52" s="17" t="s">
        <v>103</v>
      </c>
      <c r="E52" s="17" t="s">
        <v>101</v>
      </c>
      <c r="F52" s="17"/>
      <c r="G52" s="17"/>
      <c r="H52" s="18">
        <v>5000</v>
      </c>
      <c r="I52" s="18">
        <v>0</v>
      </c>
      <c r="J52" s="18">
        <f>[1]апрель!L51</f>
        <v>0</v>
      </c>
      <c r="K52" s="18">
        <v>0</v>
      </c>
      <c r="L52" s="19">
        <v>5000</v>
      </c>
      <c r="M52" s="20">
        <f t="shared" si="4"/>
        <v>100</v>
      </c>
      <c r="N52" s="21">
        <f>L52/H52*100</f>
        <v>100</v>
      </c>
      <c r="O52" s="20" t="e">
        <f>K52/I52*100</f>
        <v>#DIV/0!</v>
      </c>
      <c r="P52" s="22">
        <f>H52+Q52</f>
        <v>5000</v>
      </c>
    </row>
    <row r="53" spans="1:16" x14ac:dyDescent="0.2">
      <c r="A53" s="37"/>
      <c r="B53" s="13" t="s">
        <v>104</v>
      </c>
      <c r="C53" s="14"/>
      <c r="D53" s="10"/>
      <c r="E53" s="10"/>
      <c r="F53" s="10"/>
      <c r="G53" s="10"/>
      <c r="H53" s="11">
        <f t="shared" ref="H53:O53" si="30">H54+H68+H80+H89+H185+H76</f>
        <v>254039507.34</v>
      </c>
      <c r="I53" s="11">
        <f t="shared" si="30"/>
        <v>9800591.7400000002</v>
      </c>
      <c r="J53" s="11">
        <f t="shared" si="30"/>
        <v>90340139.470000014</v>
      </c>
      <c r="K53" s="11">
        <f t="shared" si="30"/>
        <v>14656787.560000001</v>
      </c>
      <c r="L53" s="11">
        <f t="shared" si="30"/>
        <v>163666590.72</v>
      </c>
      <c r="M53" s="11" t="e">
        <f t="shared" si="30"/>
        <v>#DIV/0!</v>
      </c>
      <c r="N53" s="11" t="e">
        <f t="shared" si="30"/>
        <v>#DIV/0!</v>
      </c>
      <c r="O53" s="11" t="e">
        <f t="shared" si="30"/>
        <v>#DIV/0!</v>
      </c>
      <c r="P53" s="11">
        <f>P54+P68+P80+P89+P185+P76</f>
        <v>254039507.34</v>
      </c>
    </row>
    <row r="54" spans="1:16" ht="25.5" x14ac:dyDescent="0.2">
      <c r="A54" s="37"/>
      <c r="B54" s="13" t="s">
        <v>105</v>
      </c>
      <c r="C54" s="14"/>
      <c r="D54" s="10" t="s">
        <v>106</v>
      </c>
      <c r="E54" s="10"/>
      <c r="F54" s="10"/>
      <c r="G54" s="10"/>
      <c r="H54" s="11">
        <f>H55+H63+H61</f>
        <v>177550440</v>
      </c>
      <c r="I54" s="11">
        <f t="shared" ref="I54:P54" si="31">I55+I63+I61</f>
        <v>6750000</v>
      </c>
      <c r="J54" s="11">
        <f t="shared" si="31"/>
        <v>49439048.460000001</v>
      </c>
      <c r="K54" s="11">
        <f t="shared" si="31"/>
        <v>9729841.3699999992</v>
      </c>
      <c r="L54" s="11">
        <f t="shared" si="31"/>
        <v>108608630.03</v>
      </c>
      <c r="M54" s="11">
        <f t="shared" si="31"/>
        <v>365.65731014103056</v>
      </c>
      <c r="N54" s="11">
        <f t="shared" si="31"/>
        <v>365.65731014103056</v>
      </c>
      <c r="O54" s="11" t="e">
        <f t="shared" si="31"/>
        <v>#DIV/0!</v>
      </c>
      <c r="P54" s="11">
        <f t="shared" si="31"/>
        <v>177550440</v>
      </c>
    </row>
    <row r="55" spans="1:16" ht="51" x14ac:dyDescent="0.2">
      <c r="A55" s="37"/>
      <c r="B55" s="13" t="s">
        <v>107</v>
      </c>
      <c r="C55" s="14"/>
      <c r="D55" s="10" t="s">
        <v>108</v>
      </c>
      <c r="E55" s="10"/>
      <c r="F55" s="10"/>
      <c r="G55" s="10"/>
      <c r="H55" s="12">
        <f>H56+H58</f>
        <v>175302940</v>
      </c>
      <c r="I55" s="12">
        <f t="shared" ref="I55:P55" si="32">I56+I58</f>
        <v>6750000</v>
      </c>
      <c r="J55" s="12">
        <f t="shared" si="32"/>
        <v>49085293.210000001</v>
      </c>
      <c r="K55" s="12">
        <f t="shared" si="32"/>
        <v>9617961.3699999992</v>
      </c>
      <c r="L55" s="12">
        <f>L56+L58</f>
        <v>107210876.48</v>
      </c>
      <c r="M55" s="12">
        <f t="shared" si="32"/>
        <v>145.36008005939792</v>
      </c>
      <c r="N55" s="12">
        <f t="shared" si="32"/>
        <v>145.36008005939792</v>
      </c>
      <c r="O55" s="12">
        <f t="shared" si="32"/>
        <v>995.88146606060604</v>
      </c>
      <c r="P55" s="12">
        <f t="shared" si="32"/>
        <v>175302940</v>
      </c>
    </row>
    <row r="56" spans="1:16" ht="38.25" x14ac:dyDescent="0.2">
      <c r="A56" s="37"/>
      <c r="B56" s="15" t="s">
        <v>109</v>
      </c>
      <c r="C56" s="16"/>
      <c r="D56" s="17" t="s">
        <v>110</v>
      </c>
      <c r="E56" s="17"/>
      <c r="F56" s="17"/>
      <c r="G56" s="17"/>
      <c r="H56" s="35">
        <f>H57</f>
        <v>160000000</v>
      </c>
      <c r="I56" s="35">
        <f t="shared" ref="I56:P56" si="33">I57</f>
        <v>6600000</v>
      </c>
      <c r="J56" s="35">
        <f t="shared" si="33"/>
        <v>42789245.910000004</v>
      </c>
      <c r="K56" s="35">
        <f t="shared" si="33"/>
        <v>8313072.6399999997</v>
      </c>
      <c r="L56" s="35">
        <f t="shared" si="33"/>
        <v>93952439</v>
      </c>
      <c r="M56" s="35">
        <f t="shared" si="33"/>
        <v>58.720274375000002</v>
      </c>
      <c r="N56" s="35">
        <f t="shared" si="33"/>
        <v>58.720274375000002</v>
      </c>
      <c r="O56" s="35">
        <f t="shared" si="33"/>
        <v>125.95564606060606</v>
      </c>
      <c r="P56" s="35">
        <f t="shared" si="33"/>
        <v>160000000</v>
      </c>
    </row>
    <row r="57" spans="1:16" s="28" customFormat="1" ht="39" x14ac:dyDescent="0.25">
      <c r="A57" s="68"/>
      <c r="B57" s="15" t="s">
        <v>111</v>
      </c>
      <c r="C57" s="16" t="s">
        <v>20</v>
      </c>
      <c r="D57" s="17" t="s">
        <v>112</v>
      </c>
      <c r="E57" s="17" t="s">
        <v>101</v>
      </c>
      <c r="F57" s="17"/>
      <c r="G57" s="17"/>
      <c r="H57" s="18">
        <f>160000000</f>
        <v>160000000</v>
      </c>
      <c r="I57" s="18">
        <v>6600000</v>
      </c>
      <c r="J57" s="18">
        <f>[1]апрель!L56</f>
        <v>42789245.910000004</v>
      </c>
      <c r="K57" s="18">
        <f>6847248.68+47451.45+34963.46+215850.44+125741.92+754949.36+10837.64+1566.88+65427.38+27789.06+46492.32+84958.2+1003.22+48792.63</f>
        <v>8313072.6399999997</v>
      </c>
      <c r="L57" s="19">
        <v>93952439</v>
      </c>
      <c r="M57" s="20">
        <f t="shared" si="4"/>
        <v>58.720274375000002</v>
      </c>
      <c r="N57" s="21">
        <f t="shared" si="14"/>
        <v>58.720274375000002</v>
      </c>
      <c r="O57" s="20">
        <f t="shared" si="6"/>
        <v>125.95564606060606</v>
      </c>
      <c r="P57" s="22">
        <f>H57+Q57</f>
        <v>160000000</v>
      </c>
    </row>
    <row r="58" spans="1:16" ht="38.25" x14ac:dyDescent="0.2">
      <c r="A58" s="37"/>
      <c r="B58" s="15" t="s">
        <v>113</v>
      </c>
      <c r="C58" s="16"/>
      <c r="D58" s="17" t="s">
        <v>114</v>
      </c>
      <c r="E58" s="17"/>
      <c r="F58" s="17"/>
      <c r="G58" s="17"/>
      <c r="H58" s="18">
        <f>H59</f>
        <v>15302940</v>
      </c>
      <c r="I58" s="18">
        <f t="shared" ref="I58:P58" si="34">I59</f>
        <v>150000</v>
      </c>
      <c r="J58" s="18">
        <f t="shared" si="34"/>
        <v>6296047.2999999998</v>
      </c>
      <c r="K58" s="18">
        <f t="shared" si="34"/>
        <v>1304888.7300000002</v>
      </c>
      <c r="L58" s="18">
        <f t="shared" si="34"/>
        <v>13258437.48</v>
      </c>
      <c r="M58" s="18">
        <f t="shared" si="34"/>
        <v>86.639805684397913</v>
      </c>
      <c r="N58" s="18">
        <f t="shared" si="34"/>
        <v>86.639805684397913</v>
      </c>
      <c r="O58" s="18">
        <f t="shared" si="34"/>
        <v>869.92582000000004</v>
      </c>
      <c r="P58" s="18">
        <f t="shared" si="34"/>
        <v>15302940</v>
      </c>
    </row>
    <row r="59" spans="1:16" s="28" customFormat="1" ht="39" x14ac:dyDescent="0.25">
      <c r="A59" s="68"/>
      <c r="B59" s="15" t="s">
        <v>115</v>
      </c>
      <c r="C59" s="16" t="s">
        <v>20</v>
      </c>
      <c r="D59" s="17" t="s">
        <v>116</v>
      </c>
      <c r="E59" s="17" t="s">
        <v>101</v>
      </c>
      <c r="F59" s="17"/>
      <c r="G59" s="17"/>
      <c r="H59" s="18">
        <v>15302940</v>
      </c>
      <c r="I59" s="18">
        <v>150000</v>
      </c>
      <c r="J59" s="18">
        <f>[1]апрель!L58</f>
        <v>6296047.2999999998</v>
      </c>
      <c r="K59" s="18">
        <f>116144.64+74263.89+65395.91+74197.67+78453.53+154283.79+79556.92+47377.1+76078.29+109682.78+90866.37+127388.72+74491.57+68267.02+68440.53</f>
        <v>1304888.7300000002</v>
      </c>
      <c r="L59" s="19">
        <v>13258437.48</v>
      </c>
      <c r="M59" s="20">
        <f t="shared" si="4"/>
        <v>86.639805684397913</v>
      </c>
      <c r="N59" s="21">
        <f t="shared" si="14"/>
        <v>86.639805684397913</v>
      </c>
      <c r="O59" s="20">
        <f t="shared" si="6"/>
        <v>869.92582000000004</v>
      </c>
      <c r="P59" s="22">
        <f>H59+Q59</f>
        <v>15302940</v>
      </c>
    </row>
    <row r="60" spans="1:16" s="28" customFormat="1" ht="26.25" x14ac:dyDescent="0.25">
      <c r="A60" s="68"/>
      <c r="B60" s="13" t="s">
        <v>117</v>
      </c>
      <c r="C60" s="14"/>
      <c r="D60" s="10" t="s">
        <v>118</v>
      </c>
      <c r="E60" s="10"/>
      <c r="F60" s="10"/>
      <c r="G60" s="10"/>
      <c r="H60" s="11">
        <f t="shared" ref="H60:P61" si="35">H61</f>
        <v>12500</v>
      </c>
      <c r="I60" s="11">
        <f t="shared" si="35"/>
        <v>0</v>
      </c>
      <c r="J60" s="11">
        <f t="shared" si="35"/>
        <v>12400</v>
      </c>
      <c r="K60" s="11">
        <f t="shared" si="35"/>
        <v>12.83</v>
      </c>
      <c r="L60" s="11">
        <f t="shared" si="35"/>
        <v>12412.83</v>
      </c>
      <c r="M60" s="11">
        <f t="shared" si="35"/>
        <v>99.302639999999997</v>
      </c>
      <c r="N60" s="11">
        <f t="shared" si="35"/>
        <v>99.302639999999997</v>
      </c>
      <c r="O60" s="11" t="e">
        <f t="shared" si="35"/>
        <v>#DIV/0!</v>
      </c>
      <c r="P60" s="11">
        <f t="shared" si="35"/>
        <v>12500</v>
      </c>
    </row>
    <row r="61" spans="1:16" s="28" customFormat="1" ht="25.5" x14ac:dyDescent="0.2">
      <c r="A61" s="67"/>
      <c r="B61" s="15" t="s">
        <v>117</v>
      </c>
      <c r="C61" s="16"/>
      <c r="D61" s="17" t="s">
        <v>119</v>
      </c>
      <c r="E61" s="17"/>
      <c r="F61" s="17"/>
      <c r="G61" s="17"/>
      <c r="H61" s="18">
        <f t="shared" si="35"/>
        <v>12500</v>
      </c>
      <c r="I61" s="18">
        <f t="shared" si="35"/>
        <v>0</v>
      </c>
      <c r="J61" s="18">
        <f t="shared" si="35"/>
        <v>12400</v>
      </c>
      <c r="K61" s="18">
        <f t="shared" si="35"/>
        <v>12.83</v>
      </c>
      <c r="L61" s="18">
        <f t="shared" si="35"/>
        <v>12412.83</v>
      </c>
      <c r="M61" s="18">
        <f t="shared" si="35"/>
        <v>99.302639999999997</v>
      </c>
      <c r="N61" s="18">
        <f t="shared" si="35"/>
        <v>99.302639999999997</v>
      </c>
      <c r="O61" s="18" t="e">
        <f t="shared" si="35"/>
        <v>#DIV/0!</v>
      </c>
      <c r="P61" s="18">
        <f t="shared" si="35"/>
        <v>12500</v>
      </c>
    </row>
    <row r="62" spans="1:16" s="28" customFormat="1" ht="26.25" x14ac:dyDescent="0.25">
      <c r="A62" s="68"/>
      <c r="B62" s="15" t="s">
        <v>120</v>
      </c>
      <c r="C62" s="16" t="s">
        <v>20</v>
      </c>
      <c r="D62" s="17" t="s">
        <v>121</v>
      </c>
      <c r="E62" s="17" t="s">
        <v>101</v>
      </c>
      <c r="F62" s="17"/>
      <c r="G62" s="17"/>
      <c r="H62" s="18">
        <v>12500</v>
      </c>
      <c r="I62" s="18">
        <v>0</v>
      </c>
      <c r="J62" s="18">
        <f>[1]апрель!L61</f>
        <v>12400</v>
      </c>
      <c r="K62" s="18">
        <f>12.83</f>
        <v>12.83</v>
      </c>
      <c r="L62" s="19">
        <v>12412.83</v>
      </c>
      <c r="M62" s="20">
        <f t="shared" si="4"/>
        <v>99.302639999999997</v>
      </c>
      <c r="N62" s="21">
        <f>L62/H62*100</f>
        <v>99.302639999999997</v>
      </c>
      <c r="O62" s="20" t="e">
        <f>K62/I62*100</f>
        <v>#DIV/0!</v>
      </c>
      <c r="P62" s="34">
        <v>12500</v>
      </c>
    </row>
    <row r="63" spans="1:16" ht="38.25" x14ac:dyDescent="0.2">
      <c r="A63" s="37"/>
      <c r="B63" s="24" t="s">
        <v>122</v>
      </c>
      <c r="C63" s="25"/>
      <c r="D63" s="10" t="s">
        <v>123</v>
      </c>
      <c r="E63" s="10"/>
      <c r="F63" s="10"/>
      <c r="G63" s="10"/>
      <c r="H63" s="11">
        <f>H64+H66</f>
        <v>2235000</v>
      </c>
      <c r="I63" s="11">
        <f t="shared" ref="I63:P63" si="36">I64+I66</f>
        <v>0</v>
      </c>
      <c r="J63" s="11">
        <f t="shared" si="36"/>
        <v>341355.25</v>
      </c>
      <c r="K63" s="11">
        <f t="shared" si="36"/>
        <v>111867.17</v>
      </c>
      <c r="L63" s="11">
        <f t="shared" si="36"/>
        <v>1385340.72</v>
      </c>
      <c r="M63" s="11">
        <f t="shared" si="36"/>
        <v>120.99459008163265</v>
      </c>
      <c r="N63" s="11">
        <f t="shared" si="36"/>
        <v>120.99459008163265</v>
      </c>
      <c r="O63" s="11" t="e">
        <f t="shared" si="36"/>
        <v>#DIV/0!</v>
      </c>
      <c r="P63" s="11">
        <f t="shared" si="36"/>
        <v>2235000</v>
      </c>
    </row>
    <row r="64" spans="1:16" ht="38.25" x14ac:dyDescent="0.2">
      <c r="A64" s="37"/>
      <c r="B64" s="24" t="s">
        <v>124</v>
      </c>
      <c r="C64" s="25"/>
      <c r="D64" s="10" t="s">
        <v>125</v>
      </c>
      <c r="E64" s="10"/>
      <c r="F64" s="10"/>
      <c r="G64" s="10"/>
      <c r="H64" s="11">
        <f>H65</f>
        <v>735000</v>
      </c>
      <c r="I64" s="11">
        <f t="shared" ref="I64:P64" si="37">I65</f>
        <v>0</v>
      </c>
      <c r="J64" s="11">
        <f t="shared" si="37"/>
        <v>238262.11</v>
      </c>
      <c r="K64" s="11">
        <f t="shared" si="37"/>
        <v>23870.240000000002</v>
      </c>
      <c r="L64" s="11">
        <f t="shared" si="37"/>
        <v>412731.93</v>
      </c>
      <c r="M64" s="11">
        <f t="shared" si="37"/>
        <v>56.15400408163265</v>
      </c>
      <c r="N64" s="11">
        <f t="shared" si="37"/>
        <v>56.15400408163265</v>
      </c>
      <c r="O64" s="11" t="e">
        <f t="shared" si="37"/>
        <v>#DIV/0!</v>
      </c>
      <c r="P64" s="11">
        <f t="shared" si="37"/>
        <v>735000</v>
      </c>
    </row>
    <row r="65" spans="1:16" s="28" customFormat="1" ht="39" x14ac:dyDescent="0.25">
      <c r="A65" s="68"/>
      <c r="B65" s="31" t="s">
        <v>126</v>
      </c>
      <c r="C65" s="27" t="s">
        <v>20</v>
      </c>
      <c r="D65" s="17" t="s">
        <v>127</v>
      </c>
      <c r="E65" s="17" t="s">
        <v>101</v>
      </c>
      <c r="F65" s="17"/>
      <c r="G65" s="17"/>
      <c r="H65" s="18">
        <v>735000</v>
      </c>
      <c r="I65" s="18">
        <v>0</v>
      </c>
      <c r="J65" s="18">
        <f>[1]апрель!L64</f>
        <v>238262.11</v>
      </c>
      <c r="K65" s="18">
        <f>23870.24</f>
        <v>23870.240000000002</v>
      </c>
      <c r="L65" s="19">
        <v>412731.93</v>
      </c>
      <c r="M65" s="20">
        <f t="shared" si="4"/>
        <v>56.15400408163265</v>
      </c>
      <c r="N65" s="21">
        <f t="shared" si="14"/>
        <v>56.15400408163265</v>
      </c>
      <c r="O65" s="20" t="e">
        <f t="shared" si="6"/>
        <v>#DIV/0!</v>
      </c>
      <c r="P65" s="22">
        <f>H65+Q65</f>
        <v>735000</v>
      </c>
    </row>
    <row r="66" spans="1:16" s="28" customFormat="1" ht="51.75" x14ac:dyDescent="0.25">
      <c r="A66" s="68"/>
      <c r="B66" s="24" t="s">
        <v>128</v>
      </c>
      <c r="C66" s="25"/>
      <c r="D66" s="10" t="s">
        <v>129</v>
      </c>
      <c r="E66" s="10"/>
      <c r="F66" s="10"/>
      <c r="G66" s="10"/>
      <c r="H66" s="11">
        <f>H67</f>
        <v>1500000</v>
      </c>
      <c r="I66" s="11">
        <f t="shared" ref="I66:P66" si="38">I67</f>
        <v>0</v>
      </c>
      <c r="J66" s="11">
        <f t="shared" si="38"/>
        <v>103093.14</v>
      </c>
      <c r="K66" s="11">
        <f t="shared" si="38"/>
        <v>87996.93</v>
      </c>
      <c r="L66" s="11">
        <f t="shared" si="38"/>
        <v>972608.79</v>
      </c>
      <c r="M66" s="11">
        <f t="shared" si="38"/>
        <v>64.840586000000002</v>
      </c>
      <c r="N66" s="11">
        <f t="shared" si="38"/>
        <v>64.840586000000002</v>
      </c>
      <c r="O66" s="11" t="e">
        <f t="shared" si="38"/>
        <v>#DIV/0!</v>
      </c>
      <c r="P66" s="11">
        <f t="shared" si="38"/>
        <v>1500000</v>
      </c>
    </row>
    <row r="67" spans="1:16" s="28" customFormat="1" ht="51.75" x14ac:dyDescent="0.25">
      <c r="A67" s="68"/>
      <c r="B67" s="31" t="s">
        <v>128</v>
      </c>
      <c r="C67" s="27" t="s">
        <v>20</v>
      </c>
      <c r="D67" s="17" t="s">
        <v>129</v>
      </c>
      <c r="E67" s="17" t="s">
        <v>101</v>
      </c>
      <c r="F67" s="17"/>
      <c r="G67" s="17"/>
      <c r="H67" s="18">
        <v>1500000</v>
      </c>
      <c r="I67" s="18">
        <v>0</v>
      </c>
      <c r="J67" s="18">
        <f>[1]апрель!L66</f>
        <v>103093.14</v>
      </c>
      <c r="K67" s="18">
        <f>16000+45011.93+10985+16000</f>
        <v>87996.93</v>
      </c>
      <c r="L67" s="19">
        <v>972608.79</v>
      </c>
      <c r="M67" s="20">
        <f>IF(N67&gt;200,"свыше200,0",N67)</f>
        <v>64.840586000000002</v>
      </c>
      <c r="N67" s="21">
        <f>L67/H67*100</f>
        <v>64.840586000000002</v>
      </c>
      <c r="O67" s="20" t="e">
        <f>K67/I67*100</f>
        <v>#DIV/0!</v>
      </c>
      <c r="P67" s="22">
        <v>1500000</v>
      </c>
    </row>
    <row r="68" spans="1:16" x14ac:dyDescent="0.2">
      <c r="A68" s="37"/>
      <c r="B68" s="13" t="s">
        <v>130</v>
      </c>
      <c r="C68" s="14"/>
      <c r="D68" s="10" t="s">
        <v>131</v>
      </c>
      <c r="E68" s="10"/>
      <c r="F68" s="10"/>
      <c r="G68" s="10"/>
      <c r="H68" s="11">
        <f>H69</f>
        <v>1623400</v>
      </c>
      <c r="I68" s="11">
        <f t="shared" ref="I68:P68" si="39">I69</f>
        <v>40000</v>
      </c>
      <c r="J68" s="11">
        <f t="shared" si="39"/>
        <v>452300.11000000004</v>
      </c>
      <c r="K68" s="11">
        <f t="shared" si="39"/>
        <v>5976.86</v>
      </c>
      <c r="L68" s="11">
        <f t="shared" si="39"/>
        <v>739921.88</v>
      </c>
      <c r="M68" s="11">
        <f t="shared" si="39"/>
        <v>185.07526808230199</v>
      </c>
      <c r="N68" s="11">
        <f t="shared" si="39"/>
        <v>185.07526808230199</v>
      </c>
      <c r="O68" s="11" t="e">
        <f t="shared" si="39"/>
        <v>#DIV/0!</v>
      </c>
      <c r="P68" s="11">
        <f t="shared" si="39"/>
        <v>1623400</v>
      </c>
    </row>
    <row r="69" spans="1:16" x14ac:dyDescent="0.2">
      <c r="A69" s="37"/>
      <c r="B69" s="13" t="s">
        <v>132</v>
      </c>
      <c r="C69" s="14"/>
      <c r="D69" s="10" t="s">
        <v>133</v>
      </c>
      <c r="E69" s="10"/>
      <c r="F69" s="10"/>
      <c r="G69" s="10"/>
      <c r="H69" s="11">
        <f>H70+H72+H75+H71</f>
        <v>1623400</v>
      </c>
      <c r="I69" s="11">
        <f t="shared" ref="I69:P69" si="40">I70+I72+I75+I71</f>
        <v>40000</v>
      </c>
      <c r="J69" s="11">
        <f t="shared" si="40"/>
        <v>452300.11000000004</v>
      </c>
      <c r="K69" s="11">
        <f t="shared" si="40"/>
        <v>5976.86</v>
      </c>
      <c r="L69" s="11">
        <f t="shared" si="40"/>
        <v>739921.88</v>
      </c>
      <c r="M69" s="11">
        <f t="shared" si="40"/>
        <v>185.07526808230199</v>
      </c>
      <c r="N69" s="11">
        <f t="shared" si="40"/>
        <v>185.07526808230199</v>
      </c>
      <c r="O69" s="11" t="e">
        <f t="shared" si="40"/>
        <v>#DIV/0!</v>
      </c>
      <c r="P69" s="11">
        <f t="shared" si="40"/>
        <v>1623400</v>
      </c>
    </row>
    <row r="70" spans="1:16" x14ac:dyDescent="0.2">
      <c r="A70" s="37"/>
      <c r="B70" s="15" t="s">
        <v>134</v>
      </c>
      <c r="C70" s="16" t="s">
        <v>20</v>
      </c>
      <c r="D70" s="17" t="s">
        <v>135</v>
      </c>
      <c r="E70" s="17" t="s">
        <v>136</v>
      </c>
      <c r="F70" s="17"/>
      <c r="G70" s="17"/>
      <c r="H70" s="18">
        <v>256100</v>
      </c>
      <c r="I70" s="18">
        <v>10000</v>
      </c>
      <c r="J70" s="18">
        <f>[1]апрель!L69</f>
        <v>162009.08000000002</v>
      </c>
      <c r="K70" s="18">
        <f>22.11</f>
        <v>22.11</v>
      </c>
      <c r="L70" s="19">
        <v>230297.06</v>
      </c>
      <c r="M70" s="20">
        <f t="shared" si="4"/>
        <v>89.924662241311978</v>
      </c>
      <c r="N70" s="21">
        <f t="shared" si="14"/>
        <v>89.924662241311978</v>
      </c>
      <c r="O70" s="20">
        <f t="shared" si="6"/>
        <v>0.22109999999999999</v>
      </c>
      <c r="P70" s="22">
        <v>256100</v>
      </c>
    </row>
    <row r="71" spans="1:16" x14ac:dyDescent="0.2">
      <c r="A71" s="37"/>
      <c r="B71" s="15" t="s">
        <v>137</v>
      </c>
      <c r="C71" s="16" t="s">
        <v>20</v>
      </c>
      <c r="D71" s="17" t="s">
        <v>138</v>
      </c>
      <c r="E71" s="17" t="s">
        <v>136</v>
      </c>
      <c r="F71" s="17"/>
      <c r="G71" s="17"/>
      <c r="H71" s="18">
        <v>0</v>
      </c>
      <c r="I71" s="18">
        <v>0</v>
      </c>
      <c r="J71" s="18">
        <f>[1]апрель!L70</f>
        <v>713.95</v>
      </c>
      <c r="K71" s="18">
        <f>0</f>
        <v>0</v>
      </c>
      <c r="L71" s="19">
        <v>1427.9</v>
      </c>
      <c r="M71" s="20">
        <f t="shared" si="4"/>
        <v>0</v>
      </c>
      <c r="N71" s="21"/>
      <c r="O71" s="20"/>
      <c r="P71" s="22">
        <f>H71+Q71</f>
        <v>0</v>
      </c>
    </row>
    <row r="72" spans="1:16" x14ac:dyDescent="0.2">
      <c r="A72" s="37"/>
      <c r="B72" s="15" t="s">
        <v>139</v>
      </c>
      <c r="C72" s="16"/>
      <c r="D72" s="17" t="s">
        <v>140</v>
      </c>
      <c r="E72" s="17"/>
      <c r="F72" s="17"/>
      <c r="G72" s="17"/>
      <c r="H72" s="18">
        <f>H73+H74</f>
        <v>187500</v>
      </c>
      <c r="I72" s="18">
        <f t="shared" ref="I72:P72" si="41">I73+I74</f>
        <v>10000</v>
      </c>
      <c r="J72" s="18">
        <f t="shared" si="41"/>
        <v>93524.62999999999</v>
      </c>
      <c r="K72" s="18">
        <f t="shared" si="41"/>
        <v>5954.75</v>
      </c>
      <c r="L72" s="18">
        <f t="shared" si="41"/>
        <v>116092.02</v>
      </c>
      <c r="M72" s="18">
        <f t="shared" si="41"/>
        <v>61.915744000000004</v>
      </c>
      <c r="N72" s="18">
        <f t="shared" si="41"/>
        <v>61.915744000000004</v>
      </c>
      <c r="O72" s="18" t="e">
        <f t="shared" si="41"/>
        <v>#DIV/0!</v>
      </c>
      <c r="P72" s="18">
        <f t="shared" si="41"/>
        <v>187500</v>
      </c>
    </row>
    <row r="73" spans="1:16" x14ac:dyDescent="0.2">
      <c r="A73" s="37"/>
      <c r="B73" s="15" t="s">
        <v>139</v>
      </c>
      <c r="C73" s="16" t="s">
        <v>20</v>
      </c>
      <c r="D73" s="17" t="s">
        <v>141</v>
      </c>
      <c r="E73" s="17" t="s">
        <v>136</v>
      </c>
      <c r="F73" s="17"/>
      <c r="G73" s="17"/>
      <c r="H73" s="18">
        <v>187500</v>
      </c>
      <c r="I73" s="18">
        <v>10000</v>
      </c>
      <c r="J73" s="18">
        <f>[1]апрель!L72</f>
        <v>93524.62999999999</v>
      </c>
      <c r="K73" s="18">
        <f>226+1756.06+3972.69</f>
        <v>5954.75</v>
      </c>
      <c r="L73" s="19">
        <v>116092.02</v>
      </c>
      <c r="M73" s="20">
        <f t="shared" si="4"/>
        <v>61.915744000000004</v>
      </c>
      <c r="N73" s="21">
        <f t="shared" si="14"/>
        <v>61.915744000000004</v>
      </c>
      <c r="O73" s="20">
        <f t="shared" si="6"/>
        <v>59.547499999999999</v>
      </c>
      <c r="P73" s="22">
        <f>H73+Q73</f>
        <v>187500</v>
      </c>
    </row>
    <row r="74" spans="1:16" x14ac:dyDescent="0.2">
      <c r="A74" s="37"/>
      <c r="B74" s="15" t="s">
        <v>142</v>
      </c>
      <c r="C74" s="16" t="s">
        <v>20</v>
      </c>
      <c r="D74" s="17" t="s">
        <v>143</v>
      </c>
      <c r="E74" s="17" t="s">
        <v>136</v>
      </c>
      <c r="F74" s="17"/>
      <c r="G74" s="17"/>
      <c r="H74" s="18">
        <v>0</v>
      </c>
      <c r="I74" s="18">
        <v>0</v>
      </c>
      <c r="J74" s="18">
        <f>[1]апрель!L73</f>
        <v>0</v>
      </c>
      <c r="K74" s="18">
        <v>0</v>
      </c>
      <c r="L74" s="19">
        <v>0</v>
      </c>
      <c r="M74" s="20">
        <f t="shared" si="4"/>
        <v>0</v>
      </c>
      <c r="N74" s="21">
        <v>0</v>
      </c>
      <c r="O74" s="20" t="e">
        <f t="shared" si="6"/>
        <v>#DIV/0!</v>
      </c>
      <c r="P74" s="22">
        <f>H74+Q74</f>
        <v>0</v>
      </c>
    </row>
    <row r="75" spans="1:16" ht="25.5" x14ac:dyDescent="0.2">
      <c r="A75" s="37"/>
      <c r="B75" s="15" t="s">
        <v>144</v>
      </c>
      <c r="C75" s="16" t="s">
        <v>20</v>
      </c>
      <c r="D75" s="17" t="s">
        <v>145</v>
      </c>
      <c r="E75" s="17" t="s">
        <v>136</v>
      </c>
      <c r="F75" s="17"/>
      <c r="G75" s="17"/>
      <c r="H75" s="18">
        <v>1179800</v>
      </c>
      <c r="I75" s="18">
        <v>20000</v>
      </c>
      <c r="J75" s="18">
        <f>[1]апрель!L74</f>
        <v>196052.45</v>
      </c>
      <c r="K75" s="18">
        <v>0</v>
      </c>
      <c r="L75" s="19">
        <v>392104.9</v>
      </c>
      <c r="M75" s="20">
        <f t="shared" si="4"/>
        <v>33.23486184099</v>
      </c>
      <c r="N75" s="21">
        <f t="shared" ref="N75:N121" si="42">L75/H75*100</f>
        <v>33.23486184099</v>
      </c>
      <c r="O75" s="20">
        <f t="shared" si="6"/>
        <v>0</v>
      </c>
      <c r="P75" s="22">
        <f>H75+Q75</f>
        <v>1179800</v>
      </c>
    </row>
    <row r="76" spans="1:16" x14ac:dyDescent="0.2">
      <c r="A76" s="37"/>
      <c r="B76" s="38" t="s">
        <v>146</v>
      </c>
      <c r="C76" s="14"/>
      <c r="D76" s="25" t="s">
        <v>147</v>
      </c>
      <c r="E76" s="10"/>
      <c r="F76" s="10"/>
      <c r="G76" s="10"/>
      <c r="H76" s="11">
        <f>H77</f>
        <v>20734027.239999998</v>
      </c>
      <c r="I76" s="11">
        <f t="shared" ref="I76:P77" si="43">I77</f>
        <v>249221.74</v>
      </c>
      <c r="J76" s="11">
        <f t="shared" si="43"/>
        <v>18237900.620000001</v>
      </c>
      <c r="K76" s="11">
        <f t="shared" si="43"/>
        <v>0</v>
      </c>
      <c r="L76" s="11">
        <f>L77</f>
        <v>8235915.7999999998</v>
      </c>
      <c r="M76" s="11">
        <f t="shared" si="43"/>
        <v>39.721737145745159</v>
      </c>
      <c r="N76" s="11">
        <f t="shared" si="43"/>
        <v>39.721737145745159</v>
      </c>
      <c r="O76" s="11">
        <f t="shared" si="43"/>
        <v>0</v>
      </c>
      <c r="P76" s="11">
        <f t="shared" si="43"/>
        <v>20734027.239999998</v>
      </c>
    </row>
    <row r="77" spans="1:16" x14ac:dyDescent="0.2">
      <c r="A77" s="37"/>
      <c r="B77" s="39" t="s">
        <v>148</v>
      </c>
      <c r="C77" s="16"/>
      <c r="D77" s="40" t="s">
        <v>149</v>
      </c>
      <c r="E77" s="17"/>
      <c r="F77" s="17"/>
      <c r="G77" s="17"/>
      <c r="H77" s="18">
        <f>H78</f>
        <v>20734027.239999998</v>
      </c>
      <c r="I77" s="18">
        <f t="shared" si="43"/>
        <v>249221.74</v>
      </c>
      <c r="J77" s="18">
        <f t="shared" si="43"/>
        <v>18237900.620000001</v>
      </c>
      <c r="K77" s="18">
        <f t="shared" si="43"/>
        <v>0</v>
      </c>
      <c r="L77" s="18">
        <f>L78</f>
        <v>8235915.7999999998</v>
      </c>
      <c r="M77" s="18">
        <f t="shared" si="43"/>
        <v>39.721737145745159</v>
      </c>
      <c r="N77" s="18">
        <f t="shared" si="43"/>
        <v>39.721737145745159</v>
      </c>
      <c r="O77" s="18">
        <f t="shared" si="43"/>
        <v>0</v>
      </c>
      <c r="P77" s="18">
        <f t="shared" si="43"/>
        <v>20734027.239999998</v>
      </c>
    </row>
    <row r="78" spans="1:16" x14ac:dyDescent="0.2">
      <c r="A78" s="37"/>
      <c r="B78" s="15" t="s">
        <v>150</v>
      </c>
      <c r="C78" s="16"/>
      <c r="D78" s="17" t="s">
        <v>151</v>
      </c>
      <c r="E78" s="17"/>
      <c r="F78" s="17"/>
      <c r="G78" s="17"/>
      <c r="H78" s="18">
        <f>H79</f>
        <v>20734027.239999998</v>
      </c>
      <c r="I78" s="18">
        <f t="shared" ref="I78:P78" si="44">SUM(I79)</f>
        <v>249221.74</v>
      </c>
      <c r="J78" s="18">
        <f t="shared" si="44"/>
        <v>18237900.620000001</v>
      </c>
      <c r="K78" s="18">
        <f t="shared" si="44"/>
        <v>0</v>
      </c>
      <c r="L78" s="18">
        <f>L79</f>
        <v>8235915.7999999998</v>
      </c>
      <c r="M78" s="18">
        <f t="shared" si="44"/>
        <v>39.721737145745159</v>
      </c>
      <c r="N78" s="18">
        <f t="shared" si="44"/>
        <v>39.721737145745159</v>
      </c>
      <c r="O78" s="18">
        <f t="shared" si="44"/>
        <v>0</v>
      </c>
      <c r="P78" s="18">
        <f t="shared" si="44"/>
        <v>20734027.239999998</v>
      </c>
    </row>
    <row r="79" spans="1:16" x14ac:dyDescent="0.2">
      <c r="A79" s="37"/>
      <c r="B79" s="15" t="s">
        <v>152</v>
      </c>
      <c r="C79" s="16" t="s">
        <v>20</v>
      </c>
      <c r="D79" s="17" t="s">
        <v>153</v>
      </c>
      <c r="E79" s="17" t="s">
        <v>101</v>
      </c>
      <c r="F79" s="10"/>
      <c r="G79" s="10"/>
      <c r="H79" s="18">
        <v>20734027.239999998</v>
      </c>
      <c r="I79" s="18">
        <v>249221.74</v>
      </c>
      <c r="J79" s="18">
        <f>[1]апрель!L78</f>
        <v>18237900.620000001</v>
      </c>
      <c r="K79" s="18">
        <f>0</f>
        <v>0</v>
      </c>
      <c r="L79" s="19">
        <v>8235915.7999999998</v>
      </c>
      <c r="M79" s="20">
        <f t="shared" ref="M79:M95" si="45">IF(N79&gt;200,"свыше200,0",N79)</f>
        <v>39.721737145745159</v>
      </c>
      <c r="N79" s="21">
        <f t="shared" si="42"/>
        <v>39.721737145745159</v>
      </c>
      <c r="O79" s="20">
        <f t="shared" si="6"/>
        <v>0</v>
      </c>
      <c r="P79" s="22">
        <f>H79+Q79</f>
        <v>20734027.239999998</v>
      </c>
    </row>
    <row r="80" spans="1:16" x14ac:dyDescent="0.2">
      <c r="A80" s="37"/>
      <c r="B80" s="13" t="s">
        <v>154</v>
      </c>
      <c r="C80" s="14"/>
      <c r="D80" s="10" t="s">
        <v>155</v>
      </c>
      <c r="E80" s="10"/>
      <c r="F80" s="10"/>
      <c r="G80" s="10"/>
      <c r="H80" s="11">
        <f>H81+H83+H86</f>
        <v>37015400</v>
      </c>
      <c r="I80" s="11">
        <f t="shared" ref="I80:P80" si="46">I81+I83+I86</f>
        <v>2737000</v>
      </c>
      <c r="J80" s="11">
        <f t="shared" si="46"/>
        <v>12023473.6</v>
      </c>
      <c r="K80" s="11">
        <f t="shared" si="46"/>
        <v>2005257.7000000004</v>
      </c>
      <c r="L80" s="11">
        <f t="shared" si="46"/>
        <v>26166883.560000002</v>
      </c>
      <c r="M80" s="11">
        <f t="shared" si="46"/>
        <v>302.3964500388671</v>
      </c>
      <c r="N80" s="11">
        <f t="shared" si="46"/>
        <v>302.3964500388671</v>
      </c>
      <c r="O80" s="11" t="e">
        <f t="shared" si="46"/>
        <v>#DIV/0!</v>
      </c>
      <c r="P80" s="11">
        <f t="shared" si="46"/>
        <v>37015400</v>
      </c>
    </row>
    <row r="81" spans="1:16" x14ac:dyDescent="0.2">
      <c r="A81" s="37"/>
      <c r="B81" s="13" t="s">
        <v>156</v>
      </c>
      <c r="C81" s="14"/>
      <c r="D81" s="10" t="s">
        <v>157</v>
      </c>
      <c r="E81" s="10"/>
      <c r="F81" s="10"/>
      <c r="G81" s="10"/>
      <c r="H81" s="11">
        <f>H82</f>
        <v>32103400</v>
      </c>
      <c r="I81" s="11">
        <f t="shared" ref="I81:P81" si="47">I82</f>
        <v>2737000</v>
      </c>
      <c r="J81" s="11">
        <f t="shared" si="47"/>
        <v>9500348.5399999991</v>
      </c>
      <c r="K81" s="11">
        <f t="shared" si="47"/>
        <v>1715265.5700000003</v>
      </c>
      <c r="L81" s="11">
        <f t="shared" si="47"/>
        <v>21447901.690000001</v>
      </c>
      <c r="M81" s="11">
        <f t="shared" si="47"/>
        <v>66.808816791990893</v>
      </c>
      <c r="N81" s="11">
        <f t="shared" si="47"/>
        <v>66.808816791990893</v>
      </c>
      <c r="O81" s="11">
        <f t="shared" si="47"/>
        <v>62.669549506759239</v>
      </c>
      <c r="P81" s="11">
        <f t="shared" si="47"/>
        <v>32103400</v>
      </c>
    </row>
    <row r="82" spans="1:16" x14ac:dyDescent="0.2">
      <c r="A82" s="37"/>
      <c r="B82" s="15" t="s">
        <v>158</v>
      </c>
      <c r="C82" s="16" t="s">
        <v>20</v>
      </c>
      <c r="D82" s="17" t="s">
        <v>159</v>
      </c>
      <c r="E82" s="17" t="s">
        <v>101</v>
      </c>
      <c r="F82" s="17"/>
      <c r="G82" s="17"/>
      <c r="H82" s="18">
        <v>32103400</v>
      </c>
      <c r="I82" s="18">
        <v>2737000</v>
      </c>
      <c r="J82" s="18">
        <f>[1]апрель!L81</f>
        <v>9500348.5399999991</v>
      </c>
      <c r="K82" s="18">
        <f>37660+179091.47+27521+10000+67047.7+160095.48+206940.44+87563.73+92677.05+168492.62+141697.16+114954.09+83288.06+82970+255266.77</f>
        <v>1715265.5700000003</v>
      </c>
      <c r="L82" s="19">
        <v>21447901.690000001</v>
      </c>
      <c r="M82" s="20">
        <f t="shared" si="45"/>
        <v>66.808816791990893</v>
      </c>
      <c r="N82" s="21">
        <f t="shared" si="42"/>
        <v>66.808816791990893</v>
      </c>
      <c r="O82" s="20">
        <f t="shared" si="6"/>
        <v>62.669549506759239</v>
      </c>
      <c r="P82" s="22">
        <f>H82+Q82</f>
        <v>32103400</v>
      </c>
    </row>
    <row r="83" spans="1:16" ht="38.25" x14ac:dyDescent="0.2">
      <c r="B83" s="13" t="s">
        <v>160</v>
      </c>
      <c r="C83" s="14"/>
      <c r="D83" s="10" t="s">
        <v>161</v>
      </c>
      <c r="E83" s="10"/>
      <c r="F83" s="10"/>
      <c r="G83" s="10"/>
      <c r="H83" s="11">
        <f t="shared" ref="H83:P84" si="48">H84</f>
        <v>3800000</v>
      </c>
      <c r="I83" s="11">
        <f t="shared" si="48"/>
        <v>0</v>
      </c>
      <c r="J83" s="11">
        <f t="shared" si="48"/>
        <v>1481916.2599999998</v>
      </c>
      <c r="K83" s="11">
        <f t="shared" si="48"/>
        <v>283999.57</v>
      </c>
      <c r="L83" s="11">
        <f>L84</f>
        <v>2967686.04</v>
      </c>
      <c r="M83" s="11">
        <f t="shared" si="48"/>
        <v>78.097001052631583</v>
      </c>
      <c r="N83" s="11">
        <f t="shared" si="48"/>
        <v>78.097001052631583</v>
      </c>
      <c r="O83" s="11" t="e">
        <f t="shared" si="48"/>
        <v>#DIV/0!</v>
      </c>
      <c r="P83" s="11">
        <f t="shared" si="48"/>
        <v>3800000</v>
      </c>
    </row>
    <row r="84" spans="1:16" ht="51" x14ac:dyDescent="0.2">
      <c r="B84" s="15" t="s">
        <v>162</v>
      </c>
      <c r="C84" s="16" t="s">
        <v>20</v>
      </c>
      <c r="D84" s="17" t="s">
        <v>163</v>
      </c>
      <c r="E84" s="17"/>
      <c r="F84" s="17"/>
      <c r="G84" s="17"/>
      <c r="H84" s="18">
        <f t="shared" si="48"/>
        <v>3800000</v>
      </c>
      <c r="I84" s="18">
        <f t="shared" si="48"/>
        <v>0</v>
      </c>
      <c r="J84" s="18">
        <f t="shared" si="48"/>
        <v>1481916.2599999998</v>
      </c>
      <c r="K84" s="18">
        <f t="shared" si="48"/>
        <v>283999.57</v>
      </c>
      <c r="L84" s="18">
        <f>L85</f>
        <v>2967686.04</v>
      </c>
      <c r="M84" s="18">
        <f t="shared" si="48"/>
        <v>78.097001052631583</v>
      </c>
      <c r="N84" s="18">
        <f t="shared" si="48"/>
        <v>78.097001052631583</v>
      </c>
      <c r="O84" s="18" t="e">
        <f t="shared" si="48"/>
        <v>#DIV/0!</v>
      </c>
      <c r="P84" s="18">
        <f t="shared" si="48"/>
        <v>3800000</v>
      </c>
    </row>
    <row r="85" spans="1:16" s="28" customFormat="1" ht="51.75" x14ac:dyDescent="0.25">
      <c r="A85" s="41"/>
      <c r="B85" s="15" t="s">
        <v>164</v>
      </c>
      <c r="C85" s="16" t="s">
        <v>20</v>
      </c>
      <c r="D85" s="17" t="s">
        <v>165</v>
      </c>
      <c r="E85" s="17" t="s">
        <v>101</v>
      </c>
      <c r="F85" s="17"/>
      <c r="G85" s="17"/>
      <c r="H85" s="18">
        <v>3800000</v>
      </c>
      <c r="I85" s="18">
        <v>0</v>
      </c>
      <c r="J85" s="18">
        <f>[1]апрель!L84</f>
        <v>1481916.2599999998</v>
      </c>
      <c r="K85" s="18">
        <f>283999.57</f>
        <v>283999.57</v>
      </c>
      <c r="L85" s="19">
        <v>2967686.04</v>
      </c>
      <c r="M85" s="20">
        <f t="shared" si="45"/>
        <v>78.097001052631583</v>
      </c>
      <c r="N85" s="21">
        <f t="shared" si="42"/>
        <v>78.097001052631583</v>
      </c>
      <c r="O85" s="20" t="e">
        <f t="shared" si="6"/>
        <v>#DIV/0!</v>
      </c>
      <c r="P85" s="22">
        <f>H85+Q85</f>
        <v>3800000</v>
      </c>
    </row>
    <row r="86" spans="1:16" ht="25.5" x14ac:dyDescent="0.2">
      <c r="B86" s="13" t="s">
        <v>166</v>
      </c>
      <c r="C86" s="14"/>
      <c r="D86" s="10" t="s">
        <v>167</v>
      </c>
      <c r="E86" s="10"/>
      <c r="F86" s="10"/>
      <c r="G86" s="10"/>
      <c r="H86" s="11">
        <f t="shared" ref="H86:P87" si="49">H87</f>
        <v>1112000</v>
      </c>
      <c r="I86" s="11">
        <f t="shared" si="49"/>
        <v>0</v>
      </c>
      <c r="J86" s="11">
        <f t="shared" si="49"/>
        <v>1041208.7999999999</v>
      </c>
      <c r="K86" s="11">
        <f t="shared" si="49"/>
        <v>5992.56</v>
      </c>
      <c r="L86" s="11">
        <f>L87</f>
        <v>1751295.83</v>
      </c>
      <c r="M86" s="11">
        <f t="shared" si="49"/>
        <v>157.49063219424463</v>
      </c>
      <c r="N86" s="11">
        <f t="shared" si="49"/>
        <v>157.49063219424463</v>
      </c>
      <c r="O86" s="11" t="e">
        <f t="shared" si="49"/>
        <v>#DIV/0!</v>
      </c>
      <c r="P86" s="11">
        <f t="shared" si="49"/>
        <v>1112000</v>
      </c>
    </row>
    <row r="87" spans="1:16" x14ac:dyDescent="0.2">
      <c r="B87" s="15" t="s">
        <v>168</v>
      </c>
      <c r="C87" s="16" t="s">
        <v>20</v>
      </c>
      <c r="D87" s="17" t="s">
        <v>169</v>
      </c>
      <c r="E87" s="17"/>
      <c r="F87" s="17"/>
      <c r="G87" s="17"/>
      <c r="H87" s="18">
        <f t="shared" si="49"/>
        <v>1112000</v>
      </c>
      <c r="I87" s="18">
        <f t="shared" si="49"/>
        <v>0</v>
      </c>
      <c r="J87" s="18">
        <f t="shared" si="49"/>
        <v>1041208.7999999999</v>
      </c>
      <c r="K87" s="18">
        <f t="shared" si="49"/>
        <v>5992.56</v>
      </c>
      <c r="L87" s="18">
        <f t="shared" si="49"/>
        <v>1751295.83</v>
      </c>
      <c r="M87" s="18">
        <f t="shared" si="49"/>
        <v>157.49063219424463</v>
      </c>
      <c r="N87" s="18">
        <f t="shared" si="49"/>
        <v>157.49063219424463</v>
      </c>
      <c r="O87" s="18" t="e">
        <f t="shared" si="49"/>
        <v>#DIV/0!</v>
      </c>
      <c r="P87" s="18">
        <f t="shared" si="49"/>
        <v>1112000</v>
      </c>
    </row>
    <row r="88" spans="1:16" s="28" customFormat="1" ht="26.25" x14ac:dyDescent="0.25">
      <c r="A88" s="41"/>
      <c r="B88" s="31" t="s">
        <v>170</v>
      </c>
      <c r="C88" s="27" t="s">
        <v>20</v>
      </c>
      <c r="D88" s="17" t="s">
        <v>171</v>
      </c>
      <c r="E88" s="17" t="s">
        <v>101</v>
      </c>
      <c r="F88" s="17"/>
      <c r="G88" s="17"/>
      <c r="H88" s="18">
        <v>1112000</v>
      </c>
      <c r="I88" s="18">
        <v>0</v>
      </c>
      <c r="J88" s="18">
        <f>[1]апрель!L87</f>
        <v>1041208.7999999999</v>
      </c>
      <c r="K88" s="18">
        <f>5992.56</f>
        <v>5992.56</v>
      </c>
      <c r="L88" s="19">
        <v>1751295.83</v>
      </c>
      <c r="M88" s="20">
        <f t="shared" si="45"/>
        <v>157.49063219424463</v>
      </c>
      <c r="N88" s="21">
        <f t="shared" si="42"/>
        <v>157.49063219424463</v>
      </c>
      <c r="O88" s="20" t="e">
        <f t="shared" ref="O88:O121" si="50">K88/I88*100</f>
        <v>#DIV/0!</v>
      </c>
      <c r="P88" s="22">
        <f>H88+Q88</f>
        <v>1112000</v>
      </c>
    </row>
    <row r="89" spans="1:16" x14ac:dyDescent="0.2">
      <c r="A89" s="1"/>
      <c r="B89" s="13" t="s">
        <v>172</v>
      </c>
      <c r="C89" s="14"/>
      <c r="D89" s="10" t="s">
        <v>173</v>
      </c>
      <c r="E89" s="10"/>
      <c r="F89" s="10"/>
      <c r="G89" s="10"/>
      <c r="H89" s="11">
        <f>H90+H160+H162+H165+H167+H170+H182</f>
        <v>16157740.1</v>
      </c>
      <c r="I89" s="11">
        <f t="shared" ref="I89:P89" si="51">I90+I160+I162+I165+I167+I170+I182</f>
        <v>24370</v>
      </c>
      <c r="J89" s="11">
        <f t="shared" si="51"/>
        <v>10136133.42</v>
      </c>
      <c r="K89" s="11">
        <f t="shared" si="51"/>
        <v>2834327.75</v>
      </c>
      <c r="L89" s="11">
        <f>L90+L160+L162+L165+L167+L170+L182</f>
        <v>19021641.719999999</v>
      </c>
      <c r="M89" s="11" t="e">
        <f t="shared" si="51"/>
        <v>#DIV/0!</v>
      </c>
      <c r="N89" s="11" t="e">
        <f t="shared" si="51"/>
        <v>#DIV/0!</v>
      </c>
      <c r="O89" s="11" t="e">
        <f t="shared" si="51"/>
        <v>#DIV/0!</v>
      </c>
      <c r="P89" s="11">
        <f t="shared" si="51"/>
        <v>16157740.1</v>
      </c>
    </row>
    <row r="90" spans="1:16" ht="25.5" x14ac:dyDescent="0.2">
      <c r="A90" s="1"/>
      <c r="B90" s="13" t="s">
        <v>174</v>
      </c>
      <c r="C90" s="14"/>
      <c r="D90" s="10" t="s">
        <v>362</v>
      </c>
      <c r="E90" s="10"/>
      <c r="F90" s="10"/>
      <c r="G90" s="10"/>
      <c r="H90" s="11">
        <f>H91+H96+H106+H110+H116+H120+H122+H124+H128+H133+H136+H138+H152</f>
        <v>2088240.1</v>
      </c>
      <c r="I90" s="11">
        <f t="shared" ref="I90:P90" si="52">I91+I96+I106+I110+I116+I120+I122+I124+I128+I133+I136+I138++I152</f>
        <v>24370</v>
      </c>
      <c r="J90" s="11">
        <f t="shared" si="52"/>
        <v>823588</v>
      </c>
      <c r="K90" s="11">
        <f t="shared" si="52"/>
        <v>213505.62000000005</v>
      </c>
      <c r="L90" s="11">
        <f t="shared" si="52"/>
        <v>2818418.0500000003</v>
      </c>
      <c r="M90" s="11" t="e">
        <f t="shared" si="52"/>
        <v>#DIV/0!</v>
      </c>
      <c r="N90" s="11" t="e">
        <f t="shared" si="52"/>
        <v>#DIV/0!</v>
      </c>
      <c r="O90" s="11" t="e">
        <f t="shared" si="52"/>
        <v>#DIV/0!</v>
      </c>
      <c r="P90" s="11">
        <f t="shared" si="52"/>
        <v>2088240.1</v>
      </c>
    </row>
    <row r="91" spans="1:16" ht="38.25" x14ac:dyDescent="0.2">
      <c r="A91" s="1"/>
      <c r="B91" s="13" t="s">
        <v>175</v>
      </c>
      <c r="C91" s="14"/>
      <c r="D91" s="10" t="s">
        <v>363</v>
      </c>
      <c r="E91" s="10"/>
      <c r="F91" s="10"/>
      <c r="G91" s="10"/>
      <c r="H91" s="11">
        <f>H92</f>
        <v>14700</v>
      </c>
      <c r="I91" s="11">
        <f t="shared" ref="I91:P91" si="53">I92</f>
        <v>0</v>
      </c>
      <c r="J91" s="11">
        <f t="shared" si="53"/>
        <v>8100</v>
      </c>
      <c r="K91" s="11">
        <f t="shared" si="53"/>
        <v>500</v>
      </c>
      <c r="L91" s="11">
        <f t="shared" si="53"/>
        <v>12861</v>
      </c>
      <c r="M91" s="11">
        <f t="shared" si="53"/>
        <v>168.51724137931035</v>
      </c>
      <c r="N91" s="11" t="e">
        <f t="shared" si="53"/>
        <v>#DIV/0!</v>
      </c>
      <c r="O91" s="11" t="e">
        <f t="shared" si="53"/>
        <v>#DIV/0!</v>
      </c>
      <c r="P91" s="11">
        <f t="shared" si="53"/>
        <v>14700</v>
      </c>
    </row>
    <row r="92" spans="1:16" ht="38.25" x14ac:dyDescent="0.2">
      <c r="A92" s="1"/>
      <c r="B92" s="42" t="s">
        <v>176</v>
      </c>
      <c r="C92" s="14"/>
      <c r="D92" s="10" t="s">
        <v>177</v>
      </c>
      <c r="E92" s="10"/>
      <c r="F92" s="10"/>
      <c r="G92" s="10"/>
      <c r="H92" s="11">
        <f>H93+H94+H95</f>
        <v>14700</v>
      </c>
      <c r="I92" s="11">
        <f t="shared" ref="I92:P92" si="54">I93+I94+I95</f>
        <v>0</v>
      </c>
      <c r="J92" s="11">
        <f t="shared" si="54"/>
        <v>8100</v>
      </c>
      <c r="K92" s="11">
        <f t="shared" si="54"/>
        <v>500</v>
      </c>
      <c r="L92" s="11">
        <f t="shared" si="54"/>
        <v>12861</v>
      </c>
      <c r="M92" s="11">
        <f t="shared" si="54"/>
        <v>168.51724137931035</v>
      </c>
      <c r="N92" s="11" t="e">
        <f t="shared" si="54"/>
        <v>#DIV/0!</v>
      </c>
      <c r="O92" s="11" t="e">
        <f t="shared" si="54"/>
        <v>#DIV/0!</v>
      </c>
      <c r="P92" s="11">
        <f t="shared" si="54"/>
        <v>14700</v>
      </c>
    </row>
    <row r="93" spans="1:16" ht="63.75" x14ac:dyDescent="0.2">
      <c r="A93" s="1"/>
      <c r="B93" s="43" t="s">
        <v>178</v>
      </c>
      <c r="C93" s="27" t="s">
        <v>20</v>
      </c>
      <c r="D93" s="17" t="s">
        <v>179</v>
      </c>
      <c r="E93" s="17" t="s">
        <v>180</v>
      </c>
      <c r="F93" s="17"/>
      <c r="G93" s="17"/>
      <c r="H93" s="18">
        <v>8700</v>
      </c>
      <c r="I93" s="18">
        <v>0</v>
      </c>
      <c r="J93" s="18">
        <f>[1]апрель!L92</f>
        <v>7100</v>
      </c>
      <c r="K93" s="18">
        <f>500</f>
        <v>500</v>
      </c>
      <c r="L93" s="18">
        <v>8861</v>
      </c>
      <c r="M93" s="20">
        <f t="shared" si="45"/>
        <v>101.85057471264368</v>
      </c>
      <c r="N93" s="21">
        <f t="shared" si="42"/>
        <v>101.85057471264368</v>
      </c>
      <c r="O93" s="20" t="e">
        <f t="shared" si="50"/>
        <v>#DIV/0!</v>
      </c>
      <c r="P93" s="22">
        <f>H93+Q93</f>
        <v>8700</v>
      </c>
    </row>
    <row r="94" spans="1:16" ht="51" x14ac:dyDescent="0.2">
      <c r="A94" s="1"/>
      <c r="B94" s="43" t="s">
        <v>181</v>
      </c>
      <c r="C94" s="27" t="s">
        <v>20</v>
      </c>
      <c r="D94" s="17" t="s">
        <v>182</v>
      </c>
      <c r="E94" s="17" t="s">
        <v>180</v>
      </c>
      <c r="F94" s="17"/>
      <c r="G94" s="17"/>
      <c r="H94" s="18">
        <v>0</v>
      </c>
      <c r="I94" s="18">
        <v>0</v>
      </c>
      <c r="J94" s="18">
        <f>[1]апрель!L93</f>
        <v>0</v>
      </c>
      <c r="K94" s="18">
        <f>0</f>
        <v>0</v>
      </c>
      <c r="L94" s="18">
        <v>0</v>
      </c>
      <c r="M94" s="20">
        <v>0</v>
      </c>
      <c r="N94" s="21" t="e">
        <f t="shared" si="42"/>
        <v>#DIV/0!</v>
      </c>
      <c r="O94" s="20" t="e">
        <f t="shared" si="50"/>
        <v>#DIV/0!</v>
      </c>
      <c r="P94" s="22">
        <f t="shared" ref="P94:P95" si="55">H94+Q94</f>
        <v>0</v>
      </c>
    </row>
    <row r="95" spans="1:16" ht="38.25" x14ac:dyDescent="0.2">
      <c r="A95" s="1"/>
      <c r="B95" s="43" t="s">
        <v>183</v>
      </c>
      <c r="C95" s="27" t="s">
        <v>20</v>
      </c>
      <c r="D95" s="17" t="s">
        <v>184</v>
      </c>
      <c r="E95" s="17" t="s">
        <v>180</v>
      </c>
      <c r="F95" s="17"/>
      <c r="G95" s="17"/>
      <c r="H95" s="18">
        <v>6000</v>
      </c>
      <c r="I95" s="18">
        <v>0</v>
      </c>
      <c r="J95" s="18">
        <f>[1]апрель!L94</f>
        <v>1000</v>
      </c>
      <c r="K95" s="18">
        <f>0</f>
        <v>0</v>
      </c>
      <c r="L95" s="18">
        <v>4000</v>
      </c>
      <c r="M95" s="20">
        <f t="shared" si="45"/>
        <v>66.666666666666657</v>
      </c>
      <c r="N95" s="21">
        <f t="shared" si="42"/>
        <v>66.666666666666657</v>
      </c>
      <c r="O95" s="20" t="e">
        <f t="shared" si="50"/>
        <v>#DIV/0!</v>
      </c>
      <c r="P95" s="22">
        <f t="shared" si="55"/>
        <v>6000</v>
      </c>
    </row>
    <row r="96" spans="1:16" ht="38.25" x14ac:dyDescent="0.2">
      <c r="A96" s="1"/>
      <c r="B96" s="42" t="s">
        <v>185</v>
      </c>
      <c r="C96" s="25"/>
      <c r="D96" s="10" t="s">
        <v>186</v>
      </c>
      <c r="E96" s="17"/>
      <c r="F96" s="17"/>
      <c r="G96" s="17"/>
      <c r="H96" s="11">
        <f>H97</f>
        <v>12200</v>
      </c>
      <c r="I96" s="11">
        <f t="shared" ref="I96:P96" si="56">I97</f>
        <v>0</v>
      </c>
      <c r="J96" s="11">
        <f t="shared" si="56"/>
        <v>4066.85</v>
      </c>
      <c r="K96" s="11">
        <f t="shared" si="56"/>
        <v>0</v>
      </c>
      <c r="L96" s="11">
        <f t="shared" si="56"/>
        <v>33065.089999999997</v>
      </c>
      <c r="M96" s="11">
        <f t="shared" si="56"/>
        <v>195.1219512195122</v>
      </c>
      <c r="N96" s="11" t="e">
        <f t="shared" si="56"/>
        <v>#DIV/0!</v>
      </c>
      <c r="O96" s="11" t="e">
        <f t="shared" si="56"/>
        <v>#DIV/0!</v>
      </c>
      <c r="P96" s="11">
        <f t="shared" si="56"/>
        <v>12200</v>
      </c>
    </row>
    <row r="97" spans="1:16" ht="51" x14ac:dyDescent="0.2">
      <c r="A97" s="1"/>
      <c r="B97" s="42" t="s">
        <v>187</v>
      </c>
      <c r="C97" s="25"/>
      <c r="D97" s="10" t="s">
        <v>188</v>
      </c>
      <c r="E97" s="10"/>
      <c r="F97" s="10"/>
      <c r="G97" s="10"/>
      <c r="H97" s="11">
        <f>SUM(H98:H105)</f>
        <v>12200</v>
      </c>
      <c r="I97" s="11">
        <f t="shared" ref="I97:O97" si="57">SUM(I98:I105)</f>
        <v>0</v>
      </c>
      <c r="J97" s="11">
        <f t="shared" si="57"/>
        <v>4066.85</v>
      </c>
      <c r="K97" s="11">
        <f t="shared" si="57"/>
        <v>0</v>
      </c>
      <c r="L97" s="11">
        <f t="shared" si="57"/>
        <v>33065.089999999997</v>
      </c>
      <c r="M97" s="11">
        <f t="shared" si="57"/>
        <v>195.1219512195122</v>
      </c>
      <c r="N97" s="11" t="e">
        <f t="shared" si="57"/>
        <v>#DIV/0!</v>
      </c>
      <c r="O97" s="11" t="e">
        <f t="shared" si="57"/>
        <v>#DIV/0!</v>
      </c>
      <c r="P97" s="11">
        <f>SUM(P98:P105)</f>
        <v>12200</v>
      </c>
    </row>
    <row r="98" spans="1:16" ht="51" x14ac:dyDescent="0.2">
      <c r="A98" s="1"/>
      <c r="B98" s="43" t="s">
        <v>189</v>
      </c>
      <c r="C98" s="27" t="s">
        <v>20</v>
      </c>
      <c r="D98" s="17" t="s">
        <v>190</v>
      </c>
      <c r="E98" s="17" t="s">
        <v>180</v>
      </c>
      <c r="F98" s="17"/>
      <c r="G98" s="17"/>
      <c r="H98" s="18">
        <v>0</v>
      </c>
      <c r="I98" s="18">
        <v>0</v>
      </c>
      <c r="J98" s="18">
        <f>[1]апрель!L97</f>
        <v>0</v>
      </c>
      <c r="K98" s="18">
        <f>0</f>
        <v>0</v>
      </c>
      <c r="L98" s="18">
        <v>0</v>
      </c>
      <c r="M98" s="20">
        <v>0</v>
      </c>
      <c r="N98" s="21" t="e">
        <f>L98/H98*100</f>
        <v>#DIV/0!</v>
      </c>
      <c r="O98" s="18" t="e">
        <f>K98/I98*100</f>
        <v>#DIV/0!</v>
      </c>
      <c r="P98" s="18">
        <f>H98+Q98</f>
        <v>0</v>
      </c>
    </row>
    <row r="99" spans="1:16" ht="51" x14ac:dyDescent="0.2">
      <c r="A99" s="1"/>
      <c r="B99" s="43" t="s">
        <v>364</v>
      </c>
      <c r="C99" s="27" t="s">
        <v>20</v>
      </c>
      <c r="D99" s="17" t="s">
        <v>200</v>
      </c>
      <c r="E99" s="17"/>
      <c r="F99" s="17"/>
      <c r="G99" s="17"/>
      <c r="H99" s="18">
        <v>0</v>
      </c>
      <c r="I99" s="18"/>
      <c r="J99" s="18"/>
      <c r="K99" s="18"/>
      <c r="L99" s="18">
        <v>0</v>
      </c>
      <c r="M99" s="20"/>
      <c r="N99" s="21"/>
      <c r="O99" s="18"/>
      <c r="P99" s="18">
        <v>0</v>
      </c>
    </row>
    <row r="100" spans="1:16" ht="51" x14ac:dyDescent="0.2">
      <c r="A100" s="1"/>
      <c r="B100" s="43" t="s">
        <v>189</v>
      </c>
      <c r="C100" s="27" t="s">
        <v>20</v>
      </c>
      <c r="D100" s="17" t="s">
        <v>190</v>
      </c>
      <c r="E100" s="17"/>
      <c r="F100" s="17"/>
      <c r="G100" s="17"/>
      <c r="H100" s="18">
        <v>0</v>
      </c>
      <c r="I100" s="18"/>
      <c r="J100" s="18"/>
      <c r="K100" s="18"/>
      <c r="L100" s="18">
        <v>5000</v>
      </c>
      <c r="M100" s="20"/>
      <c r="N100" s="21"/>
      <c r="O100" s="18"/>
      <c r="P100" s="18">
        <v>0</v>
      </c>
    </row>
    <row r="101" spans="1:16" ht="89.25" x14ac:dyDescent="0.2">
      <c r="A101" s="1"/>
      <c r="B101" s="43" t="s">
        <v>191</v>
      </c>
      <c r="C101" s="27" t="s">
        <v>20</v>
      </c>
      <c r="D101" s="17" t="s">
        <v>192</v>
      </c>
      <c r="E101" s="17"/>
      <c r="F101" s="17"/>
      <c r="G101" s="17"/>
      <c r="H101" s="18">
        <v>100</v>
      </c>
      <c r="I101" s="18">
        <v>0</v>
      </c>
      <c r="J101" s="18">
        <f>[1]апрель!L98</f>
        <v>65.09</v>
      </c>
      <c r="K101" s="18">
        <f>0</f>
        <v>0</v>
      </c>
      <c r="L101" s="18">
        <v>65.09</v>
      </c>
      <c r="M101" s="20">
        <v>0</v>
      </c>
      <c r="N101" s="21">
        <f>L101/H101*100</f>
        <v>65.09</v>
      </c>
      <c r="O101" s="18" t="e">
        <f>K101/I101*100</f>
        <v>#DIV/0!</v>
      </c>
      <c r="P101" s="18">
        <f>H101+Q101</f>
        <v>100</v>
      </c>
    </row>
    <row r="102" spans="1:16" ht="89.25" x14ac:dyDescent="0.2">
      <c r="A102" s="1"/>
      <c r="B102" s="43" t="s">
        <v>193</v>
      </c>
      <c r="C102" s="27" t="s">
        <v>20</v>
      </c>
      <c r="D102" s="17" t="s">
        <v>194</v>
      </c>
      <c r="E102" s="17" t="s">
        <v>180</v>
      </c>
      <c r="F102" s="17"/>
      <c r="G102" s="17"/>
      <c r="H102" s="18">
        <v>4100</v>
      </c>
      <c r="I102" s="18"/>
      <c r="J102" s="18">
        <f>[1]апрель!L99</f>
        <v>1.759999999999998</v>
      </c>
      <c r="K102" s="18">
        <f>44.83+3955.17</f>
        <v>4000</v>
      </c>
      <c r="L102" s="18">
        <v>8000</v>
      </c>
      <c r="M102" s="20">
        <f>IF(N102&gt;200,"свыше200,0",N102)</f>
        <v>195.1219512195122</v>
      </c>
      <c r="N102" s="21">
        <f>L102/H102*100</f>
        <v>195.1219512195122</v>
      </c>
      <c r="O102" s="18" t="e">
        <f>K102/I102*100</f>
        <v>#DIV/0!</v>
      </c>
      <c r="P102" s="18">
        <f>H102+Q102</f>
        <v>4100</v>
      </c>
    </row>
    <row r="103" spans="1:16" ht="76.5" x14ac:dyDescent="0.2">
      <c r="A103" s="1"/>
      <c r="B103" s="43" t="s">
        <v>195</v>
      </c>
      <c r="C103" s="27" t="s">
        <v>20</v>
      </c>
      <c r="D103" s="17" t="s">
        <v>196</v>
      </c>
      <c r="E103" s="17" t="s">
        <v>180</v>
      </c>
      <c r="F103" s="17"/>
      <c r="G103" s="17"/>
      <c r="H103" s="18">
        <v>8000</v>
      </c>
      <c r="I103" s="18">
        <v>0</v>
      </c>
      <c r="J103" s="18">
        <f>[1]апрель!L100</f>
        <v>4000</v>
      </c>
      <c r="K103" s="18">
        <f>-44.83-3955.17</f>
        <v>-4000</v>
      </c>
      <c r="L103" s="18">
        <v>20000</v>
      </c>
      <c r="M103" s="20">
        <v>0</v>
      </c>
      <c r="N103" s="21">
        <f t="shared" si="42"/>
        <v>250</v>
      </c>
      <c r="O103" s="20" t="e">
        <f t="shared" si="50"/>
        <v>#DIV/0!</v>
      </c>
      <c r="P103" s="22">
        <f>H103+Q103</f>
        <v>8000</v>
      </c>
    </row>
    <row r="104" spans="1:16" ht="76.5" x14ac:dyDescent="0.2">
      <c r="A104" s="1"/>
      <c r="B104" s="43" t="s">
        <v>197</v>
      </c>
      <c r="C104" s="27" t="s">
        <v>20</v>
      </c>
      <c r="D104" s="17" t="s">
        <v>198</v>
      </c>
      <c r="E104" s="17" t="s">
        <v>180</v>
      </c>
      <c r="F104" s="17"/>
      <c r="G104" s="17"/>
      <c r="H104" s="18">
        <v>0</v>
      </c>
      <c r="I104" s="18">
        <v>0</v>
      </c>
      <c r="J104" s="18">
        <f>[1]апрель!L101</f>
        <v>0</v>
      </c>
      <c r="K104" s="18">
        <f>0</f>
        <v>0</v>
      </c>
      <c r="L104" s="18">
        <v>0</v>
      </c>
      <c r="M104" s="20">
        <v>0</v>
      </c>
      <c r="N104" s="21" t="e">
        <f t="shared" si="42"/>
        <v>#DIV/0!</v>
      </c>
      <c r="O104" s="20" t="e">
        <f t="shared" si="50"/>
        <v>#DIV/0!</v>
      </c>
      <c r="P104" s="22">
        <f>H104+Q104</f>
        <v>0</v>
      </c>
    </row>
    <row r="105" spans="1:16" ht="51" x14ac:dyDescent="0.2">
      <c r="A105" s="1"/>
      <c r="B105" s="43" t="s">
        <v>199</v>
      </c>
      <c r="C105" s="27" t="s">
        <v>20</v>
      </c>
      <c r="D105" s="17" t="s">
        <v>200</v>
      </c>
      <c r="E105" s="17" t="s">
        <v>180</v>
      </c>
      <c r="F105" s="17"/>
      <c r="G105" s="17"/>
      <c r="H105" s="18">
        <f>85700-85700</f>
        <v>0</v>
      </c>
      <c r="I105" s="18">
        <v>0</v>
      </c>
      <c r="J105" s="18">
        <f>[1]апрель!L102</f>
        <v>0</v>
      </c>
      <c r="K105" s="18">
        <f>0</f>
        <v>0</v>
      </c>
      <c r="L105" s="18">
        <v>0</v>
      </c>
      <c r="M105" s="20">
        <f>IF(N105&gt;200,"свыше200,0",N105)</f>
        <v>0</v>
      </c>
      <c r="N105" s="21"/>
      <c r="O105" s="20" t="e">
        <f t="shared" si="50"/>
        <v>#DIV/0!</v>
      </c>
      <c r="P105" s="22">
        <f>H105+Q105</f>
        <v>0</v>
      </c>
    </row>
    <row r="106" spans="1:16" s="44" customFormat="1" ht="38.25" x14ac:dyDescent="0.2">
      <c r="B106" s="42" t="s">
        <v>201</v>
      </c>
      <c r="C106" s="25"/>
      <c r="D106" s="10" t="s">
        <v>202</v>
      </c>
      <c r="E106" s="10"/>
      <c r="F106" s="10"/>
      <c r="G106" s="10"/>
      <c r="H106" s="11">
        <f>H107</f>
        <v>5500</v>
      </c>
      <c r="I106" s="11">
        <f t="shared" ref="I106:P106" si="58">I107</f>
        <v>0</v>
      </c>
      <c r="J106" s="11">
        <f t="shared" si="58"/>
        <v>2009.68</v>
      </c>
      <c r="K106" s="11">
        <f t="shared" si="58"/>
        <v>1.44</v>
      </c>
      <c r="L106" s="11">
        <f t="shared" si="58"/>
        <v>5937.72</v>
      </c>
      <c r="M106" s="11">
        <f t="shared" si="58"/>
        <v>107.95854545454546</v>
      </c>
      <c r="N106" s="11">
        <f t="shared" si="58"/>
        <v>107.95854545454546</v>
      </c>
      <c r="O106" s="11" t="e">
        <f t="shared" si="58"/>
        <v>#DIV/0!</v>
      </c>
      <c r="P106" s="11">
        <f t="shared" si="58"/>
        <v>5500</v>
      </c>
    </row>
    <row r="107" spans="1:16" ht="51" x14ac:dyDescent="0.2">
      <c r="A107" s="1"/>
      <c r="B107" s="42" t="s">
        <v>203</v>
      </c>
      <c r="C107" s="14"/>
      <c r="D107" s="10" t="s">
        <v>204</v>
      </c>
      <c r="E107" s="10"/>
      <c r="F107" s="10"/>
      <c r="G107" s="10"/>
      <c r="H107" s="11">
        <f>H109+H108</f>
        <v>5500</v>
      </c>
      <c r="I107" s="11">
        <f t="shared" ref="I107:P107" si="59">I109+I108</f>
        <v>0</v>
      </c>
      <c r="J107" s="11">
        <f t="shared" si="59"/>
        <v>2009.68</v>
      </c>
      <c r="K107" s="11">
        <f t="shared" si="59"/>
        <v>1.44</v>
      </c>
      <c r="L107" s="11">
        <f t="shared" si="59"/>
        <v>5937.72</v>
      </c>
      <c r="M107" s="11">
        <f t="shared" si="59"/>
        <v>107.95854545454546</v>
      </c>
      <c r="N107" s="11">
        <f t="shared" si="59"/>
        <v>107.95854545454546</v>
      </c>
      <c r="O107" s="11" t="e">
        <f t="shared" si="59"/>
        <v>#DIV/0!</v>
      </c>
      <c r="P107" s="11">
        <f t="shared" si="59"/>
        <v>5500</v>
      </c>
    </row>
    <row r="108" spans="1:16" ht="51" x14ac:dyDescent="0.2">
      <c r="A108" s="1"/>
      <c r="B108" s="43" t="s">
        <v>205</v>
      </c>
      <c r="C108" s="27" t="s">
        <v>20</v>
      </c>
      <c r="D108" s="17" t="s">
        <v>206</v>
      </c>
      <c r="E108" s="17" t="s">
        <v>180</v>
      </c>
      <c r="F108" s="17"/>
      <c r="G108" s="17"/>
      <c r="H108" s="18">
        <v>0</v>
      </c>
      <c r="I108" s="18">
        <v>0</v>
      </c>
      <c r="J108" s="18">
        <f>[1]апрель!L105</f>
        <v>0</v>
      </c>
      <c r="K108" s="18">
        <f>0</f>
        <v>0</v>
      </c>
      <c r="L108" s="18">
        <v>0</v>
      </c>
      <c r="M108" s="20">
        <f t="shared" ref="M108:M109" si="60">IF(N108&gt;200,"свыше200,0",N108)</f>
        <v>0</v>
      </c>
      <c r="N108" s="21"/>
      <c r="O108" s="20" t="e">
        <f t="shared" si="50"/>
        <v>#DIV/0!</v>
      </c>
      <c r="P108" s="22">
        <f>H108+Q108</f>
        <v>0</v>
      </c>
    </row>
    <row r="109" spans="1:16" ht="51" x14ac:dyDescent="0.2">
      <c r="A109" s="1"/>
      <c r="B109" s="43" t="s">
        <v>207</v>
      </c>
      <c r="C109" s="27" t="s">
        <v>20</v>
      </c>
      <c r="D109" s="17" t="s">
        <v>208</v>
      </c>
      <c r="E109" s="17" t="s">
        <v>180</v>
      </c>
      <c r="F109" s="17"/>
      <c r="G109" s="17"/>
      <c r="H109" s="18">
        <v>5500</v>
      </c>
      <c r="I109" s="18">
        <v>0</v>
      </c>
      <c r="J109" s="18">
        <f>[1]апрель!L106</f>
        <v>2009.68</v>
      </c>
      <c r="K109" s="18">
        <f>1.44</f>
        <v>1.44</v>
      </c>
      <c r="L109" s="18">
        <v>5937.72</v>
      </c>
      <c r="M109" s="20">
        <f t="shared" si="60"/>
        <v>107.95854545454546</v>
      </c>
      <c r="N109" s="21">
        <f t="shared" si="42"/>
        <v>107.95854545454546</v>
      </c>
      <c r="O109" s="20" t="e">
        <f t="shared" si="50"/>
        <v>#DIV/0!</v>
      </c>
      <c r="P109" s="22">
        <f>H109+Q109</f>
        <v>5500</v>
      </c>
    </row>
    <row r="110" spans="1:16" ht="38.25" x14ac:dyDescent="0.2">
      <c r="A110" s="1"/>
      <c r="B110" s="42" t="s">
        <v>209</v>
      </c>
      <c r="C110" s="25"/>
      <c r="D110" s="10" t="s">
        <v>210</v>
      </c>
      <c r="E110" s="10"/>
      <c r="F110" s="10"/>
      <c r="G110" s="10"/>
      <c r="H110" s="11">
        <f t="shared" ref="H110:P110" si="61">H111+H114</f>
        <v>0</v>
      </c>
      <c r="I110" s="11">
        <f t="shared" si="61"/>
        <v>0</v>
      </c>
      <c r="J110" s="11">
        <f t="shared" si="61"/>
        <v>0</v>
      </c>
      <c r="K110" s="11">
        <f t="shared" si="61"/>
        <v>0</v>
      </c>
      <c r="L110" s="11">
        <f t="shared" si="61"/>
        <v>40000</v>
      </c>
      <c r="M110" s="11">
        <f t="shared" si="61"/>
        <v>0</v>
      </c>
      <c r="N110" s="11" t="e">
        <f t="shared" si="61"/>
        <v>#DIV/0!</v>
      </c>
      <c r="O110" s="11" t="e">
        <f t="shared" si="61"/>
        <v>#DIV/0!</v>
      </c>
      <c r="P110" s="11">
        <f t="shared" si="61"/>
        <v>0</v>
      </c>
    </row>
    <row r="111" spans="1:16" ht="51" x14ac:dyDescent="0.2">
      <c r="A111" s="1"/>
      <c r="B111" s="42" t="s">
        <v>211</v>
      </c>
      <c r="C111" s="16"/>
      <c r="D111" s="10" t="s">
        <v>212</v>
      </c>
      <c r="E111" s="10"/>
      <c r="F111" s="10"/>
      <c r="G111" s="10"/>
      <c r="H111" s="11">
        <f>H112+H113</f>
        <v>0</v>
      </c>
      <c r="I111" s="11">
        <f t="shared" ref="I111:P111" si="62">I112+I113</f>
        <v>0</v>
      </c>
      <c r="J111" s="11">
        <f t="shared" si="62"/>
        <v>0</v>
      </c>
      <c r="K111" s="11">
        <f t="shared" si="62"/>
        <v>0</v>
      </c>
      <c r="L111" s="11">
        <f t="shared" si="62"/>
        <v>40000</v>
      </c>
      <c r="M111" s="11">
        <f t="shared" si="62"/>
        <v>0</v>
      </c>
      <c r="N111" s="11" t="e">
        <f t="shared" si="62"/>
        <v>#DIV/0!</v>
      </c>
      <c r="O111" s="11" t="e">
        <f t="shared" si="62"/>
        <v>#DIV/0!</v>
      </c>
      <c r="P111" s="11">
        <f t="shared" si="62"/>
        <v>0</v>
      </c>
    </row>
    <row r="112" spans="1:16" ht="63.75" x14ac:dyDescent="0.2">
      <c r="A112" s="1"/>
      <c r="B112" s="43" t="s">
        <v>359</v>
      </c>
      <c r="C112" s="27" t="s">
        <v>20</v>
      </c>
      <c r="D112" s="17" t="s">
        <v>213</v>
      </c>
      <c r="E112" s="17" t="s">
        <v>214</v>
      </c>
      <c r="F112" s="17"/>
      <c r="G112" s="17"/>
      <c r="H112" s="45">
        <v>0</v>
      </c>
      <c r="I112" s="18">
        <v>0</v>
      </c>
      <c r="J112" s="18">
        <f>[1]апрель!L109</f>
        <v>0</v>
      </c>
      <c r="K112" s="18">
        <f>0</f>
        <v>0</v>
      </c>
      <c r="L112" s="18">
        <v>0</v>
      </c>
      <c r="M112" s="20">
        <v>0</v>
      </c>
      <c r="N112" s="21" t="e">
        <f t="shared" si="42"/>
        <v>#DIV/0!</v>
      </c>
      <c r="O112" s="20" t="e">
        <f t="shared" si="50"/>
        <v>#DIV/0!</v>
      </c>
      <c r="P112" s="22">
        <f>H112+Q112</f>
        <v>0</v>
      </c>
    </row>
    <row r="113" spans="1:16" ht="51" x14ac:dyDescent="0.2">
      <c r="A113" s="1"/>
      <c r="B113" s="43" t="s">
        <v>215</v>
      </c>
      <c r="C113" s="27" t="s">
        <v>20</v>
      </c>
      <c r="D113" s="17" t="s">
        <v>216</v>
      </c>
      <c r="E113" s="17" t="s">
        <v>214</v>
      </c>
      <c r="F113" s="17"/>
      <c r="G113" s="17"/>
      <c r="H113" s="45">
        <v>0</v>
      </c>
      <c r="I113" s="18">
        <v>0</v>
      </c>
      <c r="J113" s="18">
        <f>[1]апрель!L110</f>
        <v>0</v>
      </c>
      <c r="K113" s="18">
        <f>0</f>
        <v>0</v>
      </c>
      <c r="L113" s="18">
        <v>40000</v>
      </c>
      <c r="M113" s="20">
        <v>0</v>
      </c>
      <c r="N113" s="21" t="e">
        <f t="shared" si="42"/>
        <v>#DIV/0!</v>
      </c>
      <c r="O113" s="20" t="e">
        <f t="shared" si="50"/>
        <v>#DIV/0!</v>
      </c>
      <c r="P113" s="22">
        <f>H113+Q113</f>
        <v>0</v>
      </c>
    </row>
    <row r="114" spans="1:16" ht="51" x14ac:dyDescent="0.2">
      <c r="A114" s="1"/>
      <c r="B114" s="42" t="s">
        <v>217</v>
      </c>
      <c r="C114" s="25"/>
      <c r="D114" s="10" t="s">
        <v>218</v>
      </c>
      <c r="E114" s="10"/>
      <c r="F114" s="10"/>
      <c r="G114" s="10"/>
      <c r="H114" s="46">
        <f>H115</f>
        <v>0</v>
      </c>
      <c r="I114" s="46">
        <f t="shared" ref="I114:P114" si="63">I115</f>
        <v>0</v>
      </c>
      <c r="J114" s="46">
        <f t="shared" si="63"/>
        <v>0</v>
      </c>
      <c r="K114" s="46">
        <f t="shared" si="63"/>
        <v>0</v>
      </c>
      <c r="L114" s="46">
        <f t="shared" si="63"/>
        <v>0</v>
      </c>
      <c r="M114" s="46">
        <f t="shared" si="63"/>
        <v>0</v>
      </c>
      <c r="N114" s="46" t="e">
        <f t="shared" si="63"/>
        <v>#DIV/0!</v>
      </c>
      <c r="O114" s="46" t="e">
        <f t="shared" si="63"/>
        <v>#DIV/0!</v>
      </c>
      <c r="P114" s="46">
        <f t="shared" si="63"/>
        <v>0</v>
      </c>
    </row>
    <row r="115" spans="1:16" ht="51" x14ac:dyDescent="0.2">
      <c r="A115" s="1"/>
      <c r="B115" s="43" t="s">
        <v>219</v>
      </c>
      <c r="C115" s="27" t="s">
        <v>20</v>
      </c>
      <c r="D115" s="17" t="s">
        <v>220</v>
      </c>
      <c r="E115" s="17" t="s">
        <v>180</v>
      </c>
      <c r="F115" s="17"/>
      <c r="G115" s="17"/>
      <c r="H115" s="45">
        <v>0</v>
      </c>
      <c r="I115" s="18">
        <v>0</v>
      </c>
      <c r="J115" s="18">
        <f>[1]апрель!L112</f>
        <v>0</v>
      </c>
      <c r="K115" s="18">
        <f>0</f>
        <v>0</v>
      </c>
      <c r="L115" s="18">
        <v>0</v>
      </c>
      <c r="M115" s="20">
        <v>0</v>
      </c>
      <c r="N115" s="21" t="e">
        <f t="shared" si="42"/>
        <v>#DIV/0!</v>
      </c>
      <c r="O115" s="20" t="e">
        <f t="shared" si="50"/>
        <v>#DIV/0!</v>
      </c>
      <c r="P115" s="22">
        <f>H115+Q115</f>
        <v>0</v>
      </c>
    </row>
    <row r="116" spans="1:16" s="44" customFormat="1" ht="38.25" x14ac:dyDescent="0.2">
      <c r="B116" s="42" t="s">
        <v>221</v>
      </c>
      <c r="C116" s="25"/>
      <c r="D116" s="10" t="s">
        <v>365</v>
      </c>
      <c r="E116" s="10"/>
      <c r="F116" s="10"/>
      <c r="G116" s="10"/>
      <c r="H116" s="46">
        <f>H117</f>
        <v>5800</v>
      </c>
      <c r="I116" s="46">
        <f t="shared" ref="I116:P116" si="64">I117</f>
        <v>0</v>
      </c>
      <c r="J116" s="46">
        <f t="shared" si="64"/>
        <v>1200</v>
      </c>
      <c r="K116" s="46">
        <f t="shared" si="64"/>
        <v>0</v>
      </c>
      <c r="L116" s="46">
        <f t="shared" si="64"/>
        <v>9300</v>
      </c>
      <c r="M116" s="46">
        <f t="shared" si="64"/>
        <v>160.34482758620689</v>
      </c>
      <c r="N116" s="46" t="e">
        <f t="shared" si="64"/>
        <v>#DIV/0!</v>
      </c>
      <c r="O116" s="46" t="e">
        <f t="shared" si="64"/>
        <v>#DIV/0!</v>
      </c>
      <c r="P116" s="46">
        <f t="shared" si="64"/>
        <v>5800</v>
      </c>
    </row>
    <row r="117" spans="1:16" ht="51" x14ac:dyDescent="0.2">
      <c r="A117" s="1"/>
      <c r="B117" s="13" t="s">
        <v>222</v>
      </c>
      <c r="C117" s="14"/>
      <c r="D117" s="10" t="s">
        <v>223</v>
      </c>
      <c r="E117" s="10"/>
      <c r="F117" s="10"/>
      <c r="G117" s="10"/>
      <c r="H117" s="11">
        <f>H118+H119</f>
        <v>5800</v>
      </c>
      <c r="I117" s="11">
        <f t="shared" ref="I117:P117" si="65">I118+I119</f>
        <v>0</v>
      </c>
      <c r="J117" s="11">
        <f t="shared" si="65"/>
        <v>1200</v>
      </c>
      <c r="K117" s="11">
        <f t="shared" si="65"/>
        <v>0</v>
      </c>
      <c r="L117" s="11">
        <f t="shared" si="65"/>
        <v>9300</v>
      </c>
      <c r="M117" s="11">
        <f t="shared" si="65"/>
        <v>160.34482758620689</v>
      </c>
      <c r="N117" s="11" t="e">
        <f t="shared" si="65"/>
        <v>#DIV/0!</v>
      </c>
      <c r="O117" s="11" t="e">
        <f t="shared" si="65"/>
        <v>#DIV/0!</v>
      </c>
      <c r="P117" s="11">
        <f t="shared" si="65"/>
        <v>5800</v>
      </c>
    </row>
    <row r="118" spans="1:16" ht="63.75" x14ac:dyDescent="0.2">
      <c r="A118" s="1"/>
      <c r="B118" s="15" t="s">
        <v>224</v>
      </c>
      <c r="C118" s="27" t="s">
        <v>20</v>
      </c>
      <c r="D118" s="17" t="s">
        <v>225</v>
      </c>
      <c r="E118" s="17" t="s">
        <v>226</v>
      </c>
      <c r="F118" s="17"/>
      <c r="G118" s="17"/>
      <c r="H118" s="18">
        <v>5800</v>
      </c>
      <c r="I118" s="18">
        <v>0</v>
      </c>
      <c r="J118" s="18">
        <f>[1]апрель!L115</f>
        <v>1200</v>
      </c>
      <c r="K118" s="18">
        <f>0</f>
        <v>0</v>
      </c>
      <c r="L118" s="18">
        <v>9300</v>
      </c>
      <c r="M118" s="20">
        <f>IF(N118&gt;200,"свыше200,0",N118)</f>
        <v>160.34482758620689</v>
      </c>
      <c r="N118" s="21">
        <f t="shared" si="42"/>
        <v>160.34482758620689</v>
      </c>
      <c r="O118" s="20" t="e">
        <f t="shared" si="50"/>
        <v>#DIV/0!</v>
      </c>
      <c r="P118" s="22">
        <f>H118+Q118</f>
        <v>5800</v>
      </c>
    </row>
    <row r="119" spans="1:16" ht="63.75" x14ac:dyDescent="0.2">
      <c r="A119" s="1"/>
      <c r="B119" s="15" t="s">
        <v>227</v>
      </c>
      <c r="C119" s="27" t="s">
        <v>20</v>
      </c>
      <c r="D119" s="17" t="s">
        <v>228</v>
      </c>
      <c r="E119" s="17" t="s">
        <v>229</v>
      </c>
      <c r="F119" s="17"/>
      <c r="G119" s="17"/>
      <c r="H119" s="18">
        <v>0</v>
      </c>
      <c r="I119" s="18">
        <v>0</v>
      </c>
      <c r="J119" s="18">
        <f>[1]апрель!L116</f>
        <v>0</v>
      </c>
      <c r="K119" s="18">
        <f>0</f>
        <v>0</v>
      </c>
      <c r="L119" s="18">
        <v>0</v>
      </c>
      <c r="M119" s="20">
        <v>0</v>
      </c>
      <c r="N119" s="21" t="e">
        <f t="shared" si="42"/>
        <v>#DIV/0!</v>
      </c>
      <c r="O119" s="20" t="e">
        <f t="shared" si="50"/>
        <v>#DIV/0!</v>
      </c>
      <c r="P119" s="22">
        <f>H119+Q119</f>
        <v>0</v>
      </c>
    </row>
    <row r="120" spans="1:16" ht="25.5" x14ac:dyDescent="0.2">
      <c r="A120" s="1"/>
      <c r="B120" s="39" t="s">
        <v>230</v>
      </c>
      <c r="C120" s="27"/>
      <c r="D120" s="10" t="s">
        <v>231</v>
      </c>
      <c r="E120" s="17"/>
      <c r="F120" s="17"/>
      <c r="G120" s="17"/>
      <c r="H120" s="11">
        <f>H121</f>
        <v>150</v>
      </c>
      <c r="I120" s="11">
        <f t="shared" ref="I120:P120" si="66">I121</f>
        <v>0</v>
      </c>
      <c r="J120" s="11">
        <f t="shared" si="66"/>
        <v>0</v>
      </c>
      <c r="K120" s="11">
        <f t="shared" si="66"/>
        <v>0</v>
      </c>
      <c r="L120" s="11">
        <v>0</v>
      </c>
      <c r="M120" s="11">
        <f t="shared" si="66"/>
        <v>0</v>
      </c>
      <c r="N120" s="11">
        <f t="shared" si="66"/>
        <v>0</v>
      </c>
      <c r="O120" s="11" t="e">
        <f t="shared" si="66"/>
        <v>#DIV/0!</v>
      </c>
      <c r="P120" s="11">
        <f t="shared" si="66"/>
        <v>150</v>
      </c>
    </row>
    <row r="121" spans="1:16" ht="38.25" x14ac:dyDescent="0.2">
      <c r="A121" s="1"/>
      <c r="B121" s="39" t="s">
        <v>232</v>
      </c>
      <c r="C121" s="27" t="s">
        <v>20</v>
      </c>
      <c r="D121" s="17" t="s">
        <v>233</v>
      </c>
      <c r="E121" s="17" t="s">
        <v>180</v>
      </c>
      <c r="F121" s="17"/>
      <c r="G121" s="17"/>
      <c r="H121" s="18">
        <v>150</v>
      </c>
      <c r="I121" s="18">
        <v>0</v>
      </c>
      <c r="J121" s="18">
        <f>[1]апрель!L118</f>
        <v>0</v>
      </c>
      <c r="K121" s="18">
        <f>0</f>
        <v>0</v>
      </c>
      <c r="L121" s="18">
        <v>0</v>
      </c>
      <c r="M121" s="20">
        <f>IF(N121&gt;200,"свыше200,0",N121)</f>
        <v>0</v>
      </c>
      <c r="N121" s="21">
        <f t="shared" si="42"/>
        <v>0</v>
      </c>
      <c r="O121" s="20" t="e">
        <f t="shared" si="50"/>
        <v>#DIV/0!</v>
      </c>
      <c r="P121" s="22">
        <f>H121+Q121</f>
        <v>150</v>
      </c>
    </row>
    <row r="122" spans="1:16" ht="38.25" x14ac:dyDescent="0.2">
      <c r="A122" s="1"/>
      <c r="B122" s="42" t="s">
        <v>234</v>
      </c>
      <c r="C122" s="25"/>
      <c r="D122" s="10" t="s">
        <v>235</v>
      </c>
      <c r="E122" s="10"/>
      <c r="F122" s="10"/>
      <c r="G122" s="10"/>
      <c r="H122" s="11">
        <f>H123</f>
        <v>0</v>
      </c>
      <c r="I122" s="11">
        <f t="shared" ref="I122:P122" si="67">I123</f>
        <v>0</v>
      </c>
      <c r="J122" s="11">
        <f t="shared" si="67"/>
        <v>0</v>
      </c>
      <c r="K122" s="11">
        <f t="shared" si="67"/>
        <v>0</v>
      </c>
      <c r="L122" s="11">
        <f t="shared" si="67"/>
        <v>500000</v>
      </c>
      <c r="M122" s="11" t="e">
        <f t="shared" si="67"/>
        <v>#DIV/0!</v>
      </c>
      <c r="N122" s="11" t="e">
        <f t="shared" si="67"/>
        <v>#DIV/0!</v>
      </c>
      <c r="O122" s="11" t="e">
        <f t="shared" si="67"/>
        <v>#DIV/0!</v>
      </c>
      <c r="P122" s="11">
        <f t="shared" si="67"/>
        <v>0</v>
      </c>
    </row>
    <row r="123" spans="1:16" ht="38.25" x14ac:dyDescent="0.2">
      <c r="A123" s="1"/>
      <c r="B123" s="43" t="s">
        <v>236</v>
      </c>
      <c r="C123" s="27" t="s">
        <v>20</v>
      </c>
      <c r="D123" s="17" t="s">
        <v>237</v>
      </c>
      <c r="E123" s="17" t="s">
        <v>180</v>
      </c>
      <c r="F123" s="17"/>
      <c r="G123" s="17"/>
      <c r="H123" s="18">
        <v>0</v>
      </c>
      <c r="I123" s="18">
        <v>0</v>
      </c>
      <c r="J123" s="18">
        <f>[1]апрель!L120</f>
        <v>0</v>
      </c>
      <c r="K123" s="18">
        <f>0</f>
        <v>0</v>
      </c>
      <c r="L123" s="18">
        <v>500000</v>
      </c>
      <c r="M123" s="20" t="e">
        <f>IF(N123&gt;200,"свыше200,0",N123)</f>
        <v>#DIV/0!</v>
      </c>
      <c r="N123" s="21" t="e">
        <f>L123/H123*100</f>
        <v>#DIV/0!</v>
      </c>
      <c r="O123" s="20" t="e">
        <f>K123/I123*100</f>
        <v>#DIV/0!</v>
      </c>
      <c r="P123" s="22">
        <f>H123+Q123</f>
        <v>0</v>
      </c>
    </row>
    <row r="124" spans="1:16" s="44" customFormat="1" ht="38.25" x14ac:dyDescent="0.2">
      <c r="B124" s="42" t="s">
        <v>238</v>
      </c>
      <c r="C124" s="25"/>
      <c r="D124" s="10" t="s">
        <v>239</v>
      </c>
      <c r="E124" s="10"/>
      <c r="F124" s="10"/>
      <c r="G124" s="10"/>
      <c r="H124" s="11">
        <f>H125+H127+H126</f>
        <v>258000</v>
      </c>
      <c r="I124" s="11">
        <f t="shared" ref="I124:P124" si="68">I125+I127+I126</f>
        <v>0</v>
      </c>
      <c r="J124" s="11">
        <f t="shared" si="68"/>
        <v>83882.759999999995</v>
      </c>
      <c r="K124" s="11">
        <f t="shared" si="68"/>
        <v>-482.76</v>
      </c>
      <c r="L124" s="11">
        <f t="shared" si="68"/>
        <v>254703.51</v>
      </c>
      <c r="M124" s="11">
        <f t="shared" si="68"/>
        <v>132.13998880597015</v>
      </c>
      <c r="N124" s="11">
        <f t="shared" si="68"/>
        <v>132.13998880597015</v>
      </c>
      <c r="O124" s="11" t="e">
        <f t="shared" si="68"/>
        <v>#DIV/0!</v>
      </c>
      <c r="P124" s="11">
        <f t="shared" si="68"/>
        <v>258000</v>
      </c>
    </row>
    <row r="125" spans="1:16" ht="51" x14ac:dyDescent="0.2">
      <c r="A125" s="1"/>
      <c r="B125" s="43" t="s">
        <v>240</v>
      </c>
      <c r="C125" s="27" t="s">
        <v>20</v>
      </c>
      <c r="D125" s="17" t="s">
        <v>241</v>
      </c>
      <c r="E125" s="17" t="s">
        <v>229</v>
      </c>
      <c r="F125" s="17"/>
      <c r="G125" s="17"/>
      <c r="H125" s="18">
        <v>134000</v>
      </c>
      <c r="I125" s="18">
        <v>0</v>
      </c>
      <c r="J125" s="18">
        <f>[1]апрель!L122</f>
        <v>83400</v>
      </c>
      <c r="K125" s="18">
        <f>0</f>
        <v>0</v>
      </c>
      <c r="L125" s="18">
        <v>133400</v>
      </c>
      <c r="M125" s="20">
        <f>IF(N125&gt;200,"свыше200,0",N125)</f>
        <v>99.552238805970148</v>
      </c>
      <c r="N125" s="21">
        <f>L125/H125*100</f>
        <v>99.552238805970148</v>
      </c>
      <c r="O125" s="20" t="e">
        <f>K125/I125*100</f>
        <v>#DIV/0!</v>
      </c>
      <c r="P125" s="22">
        <f>H125+Q125</f>
        <v>134000</v>
      </c>
    </row>
    <row r="126" spans="1:16" ht="51" x14ac:dyDescent="0.2">
      <c r="A126" s="1"/>
      <c r="B126" s="43" t="s">
        <v>352</v>
      </c>
      <c r="C126" s="27" t="s">
        <v>20</v>
      </c>
      <c r="D126" s="17" t="s">
        <v>351</v>
      </c>
      <c r="E126" s="17"/>
      <c r="F126" s="17"/>
      <c r="G126" s="17"/>
      <c r="H126" s="18">
        <v>120000</v>
      </c>
      <c r="I126" s="18"/>
      <c r="J126" s="18"/>
      <c r="K126" s="18"/>
      <c r="L126" s="18">
        <v>120000</v>
      </c>
      <c r="M126" s="20"/>
      <c r="N126" s="21"/>
      <c r="O126" s="20"/>
      <c r="P126" s="22">
        <f t="shared" ref="P126" si="69">H126+Q126</f>
        <v>120000</v>
      </c>
    </row>
    <row r="127" spans="1:16" ht="63.75" x14ac:dyDescent="0.2">
      <c r="A127" s="1"/>
      <c r="B127" s="43" t="s">
        <v>242</v>
      </c>
      <c r="C127" s="27" t="s">
        <v>20</v>
      </c>
      <c r="D127" s="17" t="s">
        <v>243</v>
      </c>
      <c r="E127" s="17" t="s">
        <v>180</v>
      </c>
      <c r="F127" s="17"/>
      <c r="G127" s="17"/>
      <c r="H127" s="18">
        <v>4000</v>
      </c>
      <c r="I127" s="18">
        <v>0</v>
      </c>
      <c r="J127" s="18">
        <f>[1]апрель!L123</f>
        <v>482.76</v>
      </c>
      <c r="K127" s="18">
        <f>-482.76</f>
        <v>-482.76</v>
      </c>
      <c r="L127" s="18">
        <v>1303.51</v>
      </c>
      <c r="M127" s="20">
        <f>IF(N127&gt;200,"свыше200,0",N127)</f>
        <v>32.58775</v>
      </c>
      <c r="N127" s="21">
        <f>L127/H127*100</f>
        <v>32.58775</v>
      </c>
      <c r="O127" s="20" t="e">
        <f>K127/I127*100</f>
        <v>#DIV/0!</v>
      </c>
      <c r="P127" s="22">
        <f>H127+Q127</f>
        <v>4000</v>
      </c>
    </row>
    <row r="128" spans="1:16" ht="63.75" x14ac:dyDescent="0.2">
      <c r="A128" s="1"/>
      <c r="B128" s="42" t="s">
        <v>244</v>
      </c>
      <c r="C128" s="14"/>
      <c r="D128" s="10" t="s">
        <v>245</v>
      </c>
      <c r="E128" s="10"/>
      <c r="F128" s="10"/>
      <c r="G128" s="10"/>
      <c r="H128" s="11">
        <f>H129+H130+H131+H132</f>
        <v>18300</v>
      </c>
      <c r="I128" s="11">
        <f t="shared" ref="I128:P128" si="70">I129+I130+I131+I132</f>
        <v>0</v>
      </c>
      <c r="J128" s="11">
        <f t="shared" si="70"/>
        <v>7391.68</v>
      </c>
      <c r="K128" s="11">
        <f t="shared" si="70"/>
        <v>2286.46</v>
      </c>
      <c r="L128" s="11">
        <f t="shared" si="70"/>
        <v>20819.370000000003</v>
      </c>
      <c r="M128" s="11" t="e">
        <f t="shared" si="70"/>
        <v>#DIV/0!</v>
      </c>
      <c r="N128" s="11" t="e">
        <f t="shared" si="70"/>
        <v>#DIV/0!</v>
      </c>
      <c r="O128" s="11" t="e">
        <f t="shared" si="70"/>
        <v>#DIV/0!</v>
      </c>
      <c r="P128" s="11">
        <f t="shared" si="70"/>
        <v>18300</v>
      </c>
    </row>
    <row r="129" spans="1:16" ht="89.25" x14ac:dyDescent="0.2">
      <c r="A129" s="1"/>
      <c r="B129" s="43" t="s">
        <v>246</v>
      </c>
      <c r="C129" s="27" t="s">
        <v>20</v>
      </c>
      <c r="D129" s="17" t="s">
        <v>247</v>
      </c>
      <c r="E129" s="17" t="s">
        <v>180</v>
      </c>
      <c r="F129" s="17"/>
      <c r="G129" s="17"/>
      <c r="H129" s="18">
        <v>0</v>
      </c>
      <c r="I129" s="18">
        <v>0</v>
      </c>
      <c r="J129" s="18">
        <f>[1]апрель!L125</f>
        <v>0</v>
      </c>
      <c r="K129" s="18">
        <f>0</f>
        <v>0</v>
      </c>
      <c r="L129" s="19">
        <v>0</v>
      </c>
      <c r="M129" s="20" t="e">
        <f t="shared" ref="M129:M189" si="71">IF(N129&gt;200,"свыше200,0",N129)</f>
        <v>#DIV/0!</v>
      </c>
      <c r="N129" s="21" t="e">
        <f t="shared" ref="N129:N179" si="72">L129/H129*100</f>
        <v>#DIV/0!</v>
      </c>
      <c r="O129" s="20" t="e">
        <f t="shared" ref="O129:O189" si="73">K129/I129*100</f>
        <v>#DIV/0!</v>
      </c>
      <c r="P129" s="22">
        <v>0</v>
      </c>
    </row>
    <row r="130" spans="1:16" ht="63.75" x14ac:dyDescent="0.2">
      <c r="A130" s="1"/>
      <c r="B130" s="43" t="s">
        <v>248</v>
      </c>
      <c r="C130" s="27" t="s">
        <v>20</v>
      </c>
      <c r="D130" s="17" t="s">
        <v>249</v>
      </c>
      <c r="E130" s="17" t="s">
        <v>180</v>
      </c>
      <c r="F130" s="17"/>
      <c r="G130" s="17"/>
      <c r="H130" s="18">
        <v>10100</v>
      </c>
      <c r="I130" s="18">
        <v>0</v>
      </c>
      <c r="J130" s="18">
        <f>[1]апрель!L126</f>
        <v>6088.7</v>
      </c>
      <c r="K130" s="18">
        <f>300+450.55-450.22-125.33+158.97</f>
        <v>333.96999999999991</v>
      </c>
      <c r="L130" s="18">
        <v>12301.93</v>
      </c>
      <c r="M130" s="20">
        <f t="shared" si="71"/>
        <v>121.80128712871287</v>
      </c>
      <c r="N130" s="21">
        <f t="shared" si="72"/>
        <v>121.80128712871287</v>
      </c>
      <c r="O130" s="20" t="e">
        <f t="shared" si="73"/>
        <v>#DIV/0!</v>
      </c>
      <c r="P130" s="22">
        <f>H130+Q130</f>
        <v>10100</v>
      </c>
    </row>
    <row r="131" spans="1:16" ht="76.5" x14ac:dyDescent="0.2">
      <c r="A131" s="1"/>
      <c r="B131" s="43" t="s">
        <v>250</v>
      </c>
      <c r="C131" s="27" t="s">
        <v>20</v>
      </c>
      <c r="D131" s="17" t="s">
        <v>251</v>
      </c>
      <c r="E131" s="17" t="s">
        <v>180</v>
      </c>
      <c r="F131" s="17"/>
      <c r="G131" s="17"/>
      <c r="H131" s="18">
        <v>0</v>
      </c>
      <c r="I131" s="18">
        <v>0</v>
      </c>
      <c r="J131" s="18">
        <f>[1]апрель!L127</f>
        <v>-500</v>
      </c>
      <c r="K131" s="18">
        <f>0</f>
        <v>0</v>
      </c>
      <c r="L131" s="19">
        <v>-350</v>
      </c>
      <c r="M131" s="20" t="e">
        <f>IF(N131&gt;200,"свыше200,0",N131)</f>
        <v>#DIV/0!</v>
      </c>
      <c r="N131" s="21" t="e">
        <f>L131/H131*100</f>
        <v>#DIV/0!</v>
      </c>
      <c r="O131" s="20" t="e">
        <f>K131/I131*100</f>
        <v>#DIV/0!</v>
      </c>
      <c r="P131" s="22">
        <f t="shared" ref="P131:P132" si="74">H131+Q131</f>
        <v>0</v>
      </c>
    </row>
    <row r="132" spans="1:16" ht="76.5" x14ac:dyDescent="0.2">
      <c r="A132" s="1"/>
      <c r="B132" s="43" t="s">
        <v>252</v>
      </c>
      <c r="C132" s="27" t="s">
        <v>20</v>
      </c>
      <c r="D132" s="17" t="s">
        <v>253</v>
      </c>
      <c r="E132" s="17" t="s">
        <v>180</v>
      </c>
      <c r="F132" s="17"/>
      <c r="G132" s="17"/>
      <c r="H132" s="18">
        <v>8200</v>
      </c>
      <c r="I132" s="18">
        <v>0</v>
      </c>
      <c r="J132" s="18">
        <f>[1]апрель!L128</f>
        <v>1802.98</v>
      </c>
      <c r="K132" s="18">
        <f>300+150+300+600.55+150+150+151.94+150</f>
        <v>1952.49</v>
      </c>
      <c r="L132" s="19">
        <v>8867.44</v>
      </c>
      <c r="M132" s="20">
        <f t="shared" si="71"/>
        <v>108.13951219512197</v>
      </c>
      <c r="N132" s="21">
        <f t="shared" si="72"/>
        <v>108.13951219512197</v>
      </c>
      <c r="O132" s="20" t="e">
        <f t="shared" si="73"/>
        <v>#DIV/0!</v>
      </c>
      <c r="P132" s="22">
        <f t="shared" si="74"/>
        <v>8200</v>
      </c>
    </row>
    <row r="133" spans="1:16" ht="51" x14ac:dyDescent="0.2">
      <c r="A133" s="1"/>
      <c r="B133" s="42" t="s">
        <v>254</v>
      </c>
      <c r="C133" s="25"/>
      <c r="D133" s="10" t="s">
        <v>255</v>
      </c>
      <c r="E133" s="10"/>
      <c r="F133" s="10"/>
      <c r="G133" s="10"/>
      <c r="H133" s="11">
        <f>H134+H135</f>
        <v>12000</v>
      </c>
      <c r="I133" s="11">
        <f t="shared" ref="I133:P133" si="75">I134+I135</f>
        <v>0</v>
      </c>
      <c r="J133" s="11">
        <f t="shared" si="75"/>
        <v>8000</v>
      </c>
      <c r="K133" s="11">
        <f t="shared" si="75"/>
        <v>2000</v>
      </c>
      <c r="L133" s="11">
        <f t="shared" si="75"/>
        <v>12000</v>
      </c>
      <c r="M133" s="11">
        <f t="shared" si="75"/>
        <v>100</v>
      </c>
      <c r="N133" s="11" t="e">
        <f t="shared" si="75"/>
        <v>#DIV/0!</v>
      </c>
      <c r="O133" s="11" t="e">
        <f t="shared" si="75"/>
        <v>#DIV/0!</v>
      </c>
      <c r="P133" s="11">
        <f t="shared" si="75"/>
        <v>12000</v>
      </c>
    </row>
    <row r="134" spans="1:16" ht="63.75" x14ac:dyDescent="0.2">
      <c r="A134" s="1"/>
      <c r="B134" s="43" t="s">
        <v>256</v>
      </c>
      <c r="C134" s="27" t="s">
        <v>20</v>
      </c>
      <c r="D134" s="17" t="s">
        <v>257</v>
      </c>
      <c r="E134" s="17" t="s">
        <v>180</v>
      </c>
      <c r="F134" s="17"/>
      <c r="G134" s="17"/>
      <c r="H134" s="18">
        <v>12000</v>
      </c>
      <c r="I134" s="18">
        <v>0</v>
      </c>
      <c r="J134" s="18">
        <f>[1]апрель!L130</f>
        <v>8000</v>
      </c>
      <c r="K134" s="18">
        <f>2000</f>
        <v>2000</v>
      </c>
      <c r="L134" s="19">
        <v>12000</v>
      </c>
      <c r="M134" s="20">
        <f t="shared" si="71"/>
        <v>100</v>
      </c>
      <c r="N134" s="21">
        <f t="shared" si="72"/>
        <v>100</v>
      </c>
      <c r="O134" s="20" t="e">
        <f t="shared" si="73"/>
        <v>#DIV/0!</v>
      </c>
      <c r="P134" s="22">
        <f>H134+Q134</f>
        <v>12000</v>
      </c>
    </row>
    <row r="135" spans="1:16" ht="51" x14ac:dyDescent="0.2">
      <c r="A135" s="1"/>
      <c r="B135" s="43" t="s">
        <v>258</v>
      </c>
      <c r="C135" s="27" t="s">
        <v>20</v>
      </c>
      <c r="D135" s="17" t="s">
        <v>259</v>
      </c>
      <c r="E135" s="17" t="s">
        <v>180</v>
      </c>
      <c r="F135" s="17"/>
      <c r="G135" s="17"/>
      <c r="H135" s="18">
        <v>0</v>
      </c>
      <c r="I135" s="18">
        <v>0</v>
      </c>
      <c r="J135" s="18">
        <f>[1]апрель!L131</f>
        <v>0</v>
      </c>
      <c r="K135" s="18">
        <f>0</f>
        <v>0</v>
      </c>
      <c r="L135" s="19">
        <v>0</v>
      </c>
      <c r="M135" s="20">
        <v>0</v>
      </c>
      <c r="N135" s="21" t="e">
        <f t="shared" si="72"/>
        <v>#DIV/0!</v>
      </c>
      <c r="O135" s="20" t="e">
        <f t="shared" si="73"/>
        <v>#DIV/0!</v>
      </c>
      <c r="P135" s="22">
        <f>H135+Q135</f>
        <v>0</v>
      </c>
    </row>
    <row r="136" spans="1:16" ht="51" x14ac:dyDescent="0.2">
      <c r="A136" s="1"/>
      <c r="B136" s="47" t="s">
        <v>260</v>
      </c>
      <c r="C136" s="25"/>
      <c r="D136" s="10" t="s">
        <v>261</v>
      </c>
      <c r="E136" s="10"/>
      <c r="F136" s="10"/>
      <c r="G136" s="10"/>
      <c r="H136" s="11">
        <f>H137</f>
        <v>0</v>
      </c>
      <c r="I136" s="11">
        <f t="shared" ref="I136:P136" si="76">I137</f>
        <v>0</v>
      </c>
      <c r="J136" s="11">
        <f t="shared" si="76"/>
        <v>0</v>
      </c>
      <c r="K136" s="11">
        <f t="shared" si="76"/>
        <v>0</v>
      </c>
      <c r="L136" s="11">
        <v>0</v>
      </c>
      <c r="M136" s="11" t="e">
        <f t="shared" si="76"/>
        <v>#DIV/0!</v>
      </c>
      <c r="N136" s="11" t="e">
        <f t="shared" si="76"/>
        <v>#DIV/0!</v>
      </c>
      <c r="O136" s="11" t="e">
        <f t="shared" si="76"/>
        <v>#DIV/0!</v>
      </c>
      <c r="P136" s="11">
        <f t="shared" si="76"/>
        <v>0</v>
      </c>
    </row>
    <row r="137" spans="1:16" ht="63.75" x14ac:dyDescent="0.2">
      <c r="A137" s="1"/>
      <c r="B137" s="39" t="s">
        <v>262</v>
      </c>
      <c r="C137" s="27" t="s">
        <v>20</v>
      </c>
      <c r="D137" s="17" t="s">
        <v>263</v>
      </c>
      <c r="E137" s="17" t="s">
        <v>180</v>
      </c>
      <c r="F137" s="17"/>
      <c r="G137" s="17"/>
      <c r="H137" s="18">
        <v>0</v>
      </c>
      <c r="I137" s="18">
        <v>0</v>
      </c>
      <c r="J137" s="18">
        <f>[1]апрель!L133</f>
        <v>0</v>
      </c>
      <c r="K137" s="18">
        <f>0</f>
        <v>0</v>
      </c>
      <c r="L137" s="19">
        <v>0</v>
      </c>
      <c r="M137" s="20" t="e">
        <f>IF(N137&gt;200,"свыше200,0",N137)</f>
        <v>#DIV/0!</v>
      </c>
      <c r="N137" s="21" t="e">
        <f>L137/H137*100</f>
        <v>#DIV/0!</v>
      </c>
      <c r="O137" s="20" t="e">
        <f>K137/I137*100</f>
        <v>#DIV/0!</v>
      </c>
      <c r="P137" s="22">
        <v>0</v>
      </c>
    </row>
    <row r="138" spans="1:16" ht="38.25" x14ac:dyDescent="0.2">
      <c r="A138" s="1"/>
      <c r="B138" s="42" t="s">
        <v>264</v>
      </c>
      <c r="C138" s="25"/>
      <c r="D138" s="10" t="s">
        <v>265</v>
      </c>
      <c r="E138" s="10"/>
      <c r="F138" s="10"/>
      <c r="G138" s="10"/>
      <c r="H138" s="11">
        <f>H139+H141</f>
        <v>84500</v>
      </c>
      <c r="I138" s="11">
        <f t="shared" ref="I138:P138" si="77">I139+I141</f>
        <v>0</v>
      </c>
      <c r="J138" s="11">
        <f t="shared" si="77"/>
        <v>51776.52</v>
      </c>
      <c r="K138" s="11">
        <f t="shared" si="77"/>
        <v>22500</v>
      </c>
      <c r="L138" s="11">
        <f t="shared" si="77"/>
        <v>108476.52</v>
      </c>
      <c r="M138" s="11" t="e">
        <f t="shared" si="77"/>
        <v>#DIV/0!</v>
      </c>
      <c r="N138" s="11" t="e">
        <f t="shared" si="77"/>
        <v>#DIV/0!</v>
      </c>
      <c r="O138" s="11" t="e">
        <f t="shared" si="77"/>
        <v>#DIV/0!</v>
      </c>
      <c r="P138" s="11">
        <f t="shared" si="77"/>
        <v>84500</v>
      </c>
    </row>
    <row r="139" spans="1:16" ht="51" x14ac:dyDescent="0.2">
      <c r="A139" s="1"/>
      <c r="B139" s="13" t="s">
        <v>266</v>
      </c>
      <c r="C139" s="14"/>
      <c r="D139" s="10" t="s">
        <v>267</v>
      </c>
      <c r="E139" s="10"/>
      <c r="F139" s="10"/>
      <c r="G139" s="10"/>
      <c r="H139" s="11">
        <f>H140</f>
        <v>17000</v>
      </c>
      <c r="I139" s="11">
        <f t="shared" ref="I139:P139" si="78">I140</f>
        <v>0</v>
      </c>
      <c r="J139" s="11">
        <f t="shared" si="78"/>
        <v>13300</v>
      </c>
      <c r="K139" s="11">
        <f t="shared" si="78"/>
        <v>2500</v>
      </c>
      <c r="L139" s="11">
        <f t="shared" si="78"/>
        <v>17000</v>
      </c>
      <c r="M139" s="11">
        <f t="shared" si="78"/>
        <v>100</v>
      </c>
      <c r="N139" s="11">
        <f t="shared" si="78"/>
        <v>100</v>
      </c>
      <c r="O139" s="11" t="e">
        <f t="shared" si="78"/>
        <v>#DIV/0!</v>
      </c>
      <c r="P139" s="11">
        <f t="shared" si="78"/>
        <v>17000</v>
      </c>
    </row>
    <row r="140" spans="1:16" ht="63.75" x14ac:dyDescent="0.2">
      <c r="A140" s="1"/>
      <c r="B140" s="15" t="s">
        <v>268</v>
      </c>
      <c r="C140" s="27" t="s">
        <v>20</v>
      </c>
      <c r="D140" s="17" t="s">
        <v>269</v>
      </c>
      <c r="E140" s="17" t="s">
        <v>226</v>
      </c>
      <c r="F140" s="17"/>
      <c r="G140" s="17"/>
      <c r="H140" s="18">
        <v>17000</v>
      </c>
      <c r="I140" s="18">
        <v>0</v>
      </c>
      <c r="J140" s="18">
        <f>[1]апрель!L136</f>
        <v>13300</v>
      </c>
      <c r="K140" s="18">
        <f>2500</f>
        <v>2500</v>
      </c>
      <c r="L140" s="18">
        <v>17000</v>
      </c>
      <c r="M140" s="48">
        <f>IF(N140&gt;200,"свыше200,0",N140)</f>
        <v>100</v>
      </c>
      <c r="N140" s="21">
        <f t="shared" si="72"/>
        <v>100</v>
      </c>
      <c r="O140" s="48" t="e">
        <f t="shared" si="73"/>
        <v>#DIV/0!</v>
      </c>
      <c r="P140" s="18">
        <f>H140+Q140</f>
        <v>17000</v>
      </c>
    </row>
    <row r="141" spans="1:16" ht="38.25" x14ac:dyDescent="0.2">
      <c r="A141" s="1"/>
      <c r="B141" s="42" t="s">
        <v>264</v>
      </c>
      <c r="C141" s="25"/>
      <c r="D141" s="10" t="s">
        <v>270</v>
      </c>
      <c r="E141" s="10"/>
      <c r="F141" s="10"/>
      <c r="G141" s="10"/>
      <c r="H141" s="11">
        <f>H142+H144+H146</f>
        <v>67500</v>
      </c>
      <c r="I141" s="11">
        <f t="shared" ref="I141:P141" si="79">I142+I144+I146</f>
        <v>0</v>
      </c>
      <c r="J141" s="11">
        <f t="shared" si="79"/>
        <v>38476.519999999997</v>
      </c>
      <c r="K141" s="11">
        <f t="shared" si="79"/>
        <v>20000</v>
      </c>
      <c r="L141" s="11">
        <f t="shared" si="79"/>
        <v>91476.52</v>
      </c>
      <c r="M141" s="11" t="e">
        <f t="shared" si="79"/>
        <v>#DIV/0!</v>
      </c>
      <c r="N141" s="11" t="e">
        <f t="shared" si="79"/>
        <v>#DIV/0!</v>
      </c>
      <c r="O141" s="11" t="e">
        <f t="shared" si="79"/>
        <v>#DIV/0!</v>
      </c>
      <c r="P141" s="11">
        <f t="shared" si="79"/>
        <v>67500</v>
      </c>
    </row>
    <row r="142" spans="1:16" ht="38.25" x14ac:dyDescent="0.2">
      <c r="A142" s="1"/>
      <c r="B142" s="13" t="s">
        <v>355</v>
      </c>
      <c r="C142" s="25"/>
      <c r="D142" s="10" t="s">
        <v>270</v>
      </c>
      <c r="E142" s="10"/>
      <c r="F142" s="10"/>
      <c r="G142" s="10"/>
      <c r="H142" s="11">
        <f>H143</f>
        <v>0</v>
      </c>
      <c r="I142" s="11">
        <f t="shared" ref="I142:P142" si="80">I143</f>
        <v>0</v>
      </c>
      <c r="J142" s="11">
        <f t="shared" si="80"/>
        <v>0</v>
      </c>
      <c r="K142" s="11">
        <f t="shared" si="80"/>
        <v>0</v>
      </c>
      <c r="L142" s="11">
        <f t="shared" si="80"/>
        <v>3000</v>
      </c>
      <c r="M142" s="11">
        <f t="shared" si="80"/>
        <v>0</v>
      </c>
      <c r="N142" s="11">
        <f t="shared" si="80"/>
        <v>0</v>
      </c>
      <c r="O142" s="11">
        <f t="shared" si="80"/>
        <v>0</v>
      </c>
      <c r="P142" s="11">
        <f t="shared" si="80"/>
        <v>0</v>
      </c>
    </row>
    <row r="143" spans="1:16" ht="51" x14ac:dyDescent="0.2">
      <c r="A143" s="1"/>
      <c r="B143" s="15" t="s">
        <v>277</v>
      </c>
      <c r="C143" s="27" t="s">
        <v>20</v>
      </c>
      <c r="D143" s="17" t="s">
        <v>366</v>
      </c>
      <c r="E143" s="10"/>
      <c r="F143" s="10"/>
      <c r="G143" s="10"/>
      <c r="H143" s="18">
        <v>0</v>
      </c>
      <c r="I143" s="18"/>
      <c r="J143" s="18"/>
      <c r="K143" s="18"/>
      <c r="L143" s="18">
        <v>3000</v>
      </c>
      <c r="M143" s="18"/>
      <c r="N143" s="18"/>
      <c r="O143" s="18"/>
      <c r="P143" s="18">
        <f>H143+Q143</f>
        <v>0</v>
      </c>
    </row>
    <row r="144" spans="1:16" ht="38.25" x14ac:dyDescent="0.2">
      <c r="A144" s="1"/>
      <c r="B144" s="42" t="s">
        <v>355</v>
      </c>
      <c r="C144" s="25"/>
      <c r="D144" s="10" t="s">
        <v>270</v>
      </c>
      <c r="E144" s="10"/>
      <c r="F144" s="10"/>
      <c r="G144" s="10"/>
      <c r="H144" s="11">
        <f>H145</f>
        <v>4000</v>
      </c>
      <c r="I144" s="11">
        <f t="shared" ref="I144:P144" si="81">I145</f>
        <v>0</v>
      </c>
      <c r="J144" s="11">
        <f t="shared" si="81"/>
        <v>0</v>
      </c>
      <c r="K144" s="11">
        <f t="shared" si="81"/>
        <v>0</v>
      </c>
      <c r="L144" s="11">
        <f t="shared" si="81"/>
        <v>4000</v>
      </c>
      <c r="M144" s="11">
        <f t="shared" si="81"/>
        <v>0</v>
      </c>
      <c r="N144" s="11">
        <f t="shared" si="81"/>
        <v>0</v>
      </c>
      <c r="O144" s="11">
        <f t="shared" si="81"/>
        <v>0</v>
      </c>
      <c r="P144" s="11">
        <f t="shared" si="81"/>
        <v>4000</v>
      </c>
    </row>
    <row r="145" spans="1:16" ht="89.25" x14ac:dyDescent="0.2">
      <c r="A145" s="1"/>
      <c r="B145" s="15" t="s">
        <v>353</v>
      </c>
      <c r="C145" s="27" t="s">
        <v>20</v>
      </c>
      <c r="D145" s="17" t="s">
        <v>354</v>
      </c>
      <c r="E145" s="10"/>
      <c r="F145" s="10"/>
      <c r="G145" s="10"/>
      <c r="H145" s="18">
        <v>4000</v>
      </c>
      <c r="I145" s="18"/>
      <c r="J145" s="18"/>
      <c r="K145" s="18"/>
      <c r="L145" s="18">
        <v>4000</v>
      </c>
      <c r="M145" s="18"/>
      <c r="N145" s="18"/>
      <c r="O145" s="18"/>
      <c r="P145" s="18">
        <f>H145+Q145</f>
        <v>4000</v>
      </c>
    </row>
    <row r="146" spans="1:16" ht="38.25" x14ac:dyDescent="0.2">
      <c r="A146" s="1"/>
      <c r="B146" s="42" t="s">
        <v>264</v>
      </c>
      <c r="C146" s="25"/>
      <c r="D146" s="10" t="s">
        <v>270</v>
      </c>
      <c r="E146" s="10"/>
      <c r="F146" s="10"/>
      <c r="G146" s="10"/>
      <c r="H146" s="11">
        <f>H147+H148+H149+H150+H151</f>
        <v>63500</v>
      </c>
      <c r="I146" s="11">
        <f t="shared" ref="I146:P146" si="82">I147+I148+I149+I150+I151</f>
        <v>0</v>
      </c>
      <c r="J146" s="11">
        <f t="shared" si="82"/>
        <v>38476.519999999997</v>
      </c>
      <c r="K146" s="11">
        <f t="shared" si="82"/>
        <v>20000</v>
      </c>
      <c r="L146" s="11">
        <f t="shared" si="82"/>
        <v>84476.52</v>
      </c>
      <c r="M146" s="11" t="e">
        <f t="shared" si="82"/>
        <v>#DIV/0!</v>
      </c>
      <c r="N146" s="11" t="e">
        <f t="shared" si="82"/>
        <v>#DIV/0!</v>
      </c>
      <c r="O146" s="11" t="e">
        <f t="shared" si="82"/>
        <v>#DIV/0!</v>
      </c>
      <c r="P146" s="11">
        <f t="shared" si="82"/>
        <v>63500</v>
      </c>
    </row>
    <row r="147" spans="1:16" ht="89.25" x14ac:dyDescent="0.2">
      <c r="A147" s="1"/>
      <c r="B147" s="43" t="s">
        <v>271</v>
      </c>
      <c r="C147" s="27" t="s">
        <v>20</v>
      </c>
      <c r="D147" s="17" t="s">
        <v>272</v>
      </c>
      <c r="E147" s="17" t="s">
        <v>180</v>
      </c>
      <c r="F147" s="17"/>
      <c r="G147" s="17"/>
      <c r="H147" s="18">
        <v>50500</v>
      </c>
      <c r="I147" s="18">
        <v>0</v>
      </c>
      <c r="J147" s="18">
        <f>[1]апрель!L138</f>
        <v>21476.519999999997</v>
      </c>
      <c r="K147" s="18">
        <f>20000</f>
        <v>20000</v>
      </c>
      <c r="L147" s="18">
        <v>81476.52</v>
      </c>
      <c r="M147" s="20">
        <f t="shared" si="71"/>
        <v>161.33964356435644</v>
      </c>
      <c r="N147" s="21">
        <f t="shared" si="72"/>
        <v>161.33964356435644</v>
      </c>
      <c r="O147" s="20" t="e">
        <f t="shared" si="73"/>
        <v>#DIV/0!</v>
      </c>
      <c r="P147" s="22">
        <f>H147+Q147</f>
        <v>50500</v>
      </c>
    </row>
    <row r="148" spans="1:16" ht="63.75" x14ac:dyDescent="0.2">
      <c r="A148" s="1"/>
      <c r="B148" s="43" t="s">
        <v>273</v>
      </c>
      <c r="C148" s="27" t="s">
        <v>20</v>
      </c>
      <c r="D148" s="17" t="s">
        <v>274</v>
      </c>
      <c r="E148" s="17" t="s">
        <v>180</v>
      </c>
      <c r="F148" s="17"/>
      <c r="G148" s="17"/>
      <c r="H148" s="18">
        <v>10000</v>
      </c>
      <c r="I148" s="18">
        <v>0</v>
      </c>
      <c r="J148" s="18">
        <f>[1]апрель!L139</f>
        <v>10000</v>
      </c>
      <c r="K148" s="18">
        <f>0</f>
        <v>0</v>
      </c>
      <c r="L148" s="18">
        <v>0</v>
      </c>
      <c r="M148" s="20">
        <f>IF(N148&gt;200,"свыше200,0",N148)</f>
        <v>0</v>
      </c>
      <c r="N148" s="21">
        <f>L148/H148*100</f>
        <v>0</v>
      </c>
      <c r="O148" s="20" t="e">
        <f>K148/I148*100</f>
        <v>#DIV/0!</v>
      </c>
      <c r="P148" s="22">
        <f t="shared" ref="P148:P151" si="83">H148+Q148</f>
        <v>10000</v>
      </c>
    </row>
    <row r="149" spans="1:16" ht="63.75" x14ac:dyDescent="0.2">
      <c r="A149" s="1"/>
      <c r="B149" s="43" t="s">
        <v>275</v>
      </c>
      <c r="C149" s="27" t="s">
        <v>20</v>
      </c>
      <c r="D149" s="17" t="s">
        <v>276</v>
      </c>
      <c r="E149" s="17" t="s">
        <v>180</v>
      </c>
      <c r="F149" s="17"/>
      <c r="G149" s="17"/>
      <c r="H149" s="18">
        <v>0</v>
      </c>
      <c r="I149" s="18">
        <v>0</v>
      </c>
      <c r="J149" s="18">
        <f>[1]апрель!L140</f>
        <v>0</v>
      </c>
      <c r="K149" s="18">
        <f>0</f>
        <v>0</v>
      </c>
      <c r="L149" s="19">
        <v>0</v>
      </c>
      <c r="M149" s="20" t="e">
        <f t="shared" si="71"/>
        <v>#DIV/0!</v>
      </c>
      <c r="N149" s="21" t="e">
        <f t="shared" si="72"/>
        <v>#DIV/0!</v>
      </c>
      <c r="O149" s="20" t="e">
        <f t="shared" si="73"/>
        <v>#DIV/0!</v>
      </c>
      <c r="P149" s="22">
        <f t="shared" si="83"/>
        <v>0</v>
      </c>
    </row>
    <row r="150" spans="1:16" ht="51" x14ac:dyDescent="0.2">
      <c r="A150" s="1"/>
      <c r="B150" s="43" t="s">
        <v>277</v>
      </c>
      <c r="C150" s="27" t="s">
        <v>20</v>
      </c>
      <c r="D150" s="17" t="s">
        <v>278</v>
      </c>
      <c r="E150" s="17" t="s">
        <v>180</v>
      </c>
      <c r="F150" s="17"/>
      <c r="G150" s="17"/>
      <c r="H150" s="18">
        <v>3000</v>
      </c>
      <c r="I150" s="18">
        <v>0</v>
      </c>
      <c r="J150" s="18">
        <f>[1]апрель!L141</f>
        <v>3000</v>
      </c>
      <c r="K150" s="18">
        <f>0</f>
        <v>0</v>
      </c>
      <c r="L150" s="19">
        <v>3000</v>
      </c>
      <c r="M150" s="20">
        <f>IF(N150&gt;200,"свыше200,0",N150)</f>
        <v>100</v>
      </c>
      <c r="N150" s="21">
        <f>L150/H150*100</f>
        <v>100</v>
      </c>
      <c r="O150" s="20" t="e">
        <f>K150/I150*100</f>
        <v>#DIV/0!</v>
      </c>
      <c r="P150" s="22">
        <f t="shared" si="83"/>
        <v>3000</v>
      </c>
    </row>
    <row r="151" spans="1:16" ht="38.25" x14ac:dyDescent="0.2">
      <c r="A151" s="1"/>
      <c r="B151" s="43" t="s">
        <v>279</v>
      </c>
      <c r="C151" s="27" t="s">
        <v>20</v>
      </c>
      <c r="D151" s="17" t="s">
        <v>280</v>
      </c>
      <c r="E151" s="17" t="s">
        <v>180</v>
      </c>
      <c r="F151" s="17"/>
      <c r="G151" s="17"/>
      <c r="H151" s="18">
        <v>0</v>
      </c>
      <c r="I151" s="18">
        <v>0</v>
      </c>
      <c r="J151" s="18">
        <f>[1]апрель!L142</f>
        <v>4000</v>
      </c>
      <c r="K151" s="18">
        <f>0</f>
        <v>0</v>
      </c>
      <c r="L151" s="19">
        <v>0</v>
      </c>
      <c r="M151" s="20" t="e">
        <f>IF(N151&gt;200,"свыше200,0",N151)</f>
        <v>#DIV/0!</v>
      </c>
      <c r="N151" s="21" t="e">
        <f>L151/H151*100</f>
        <v>#DIV/0!</v>
      </c>
      <c r="O151" s="20" t="e">
        <f>K151/I151*100</f>
        <v>#DIV/0!</v>
      </c>
      <c r="P151" s="22">
        <f t="shared" si="83"/>
        <v>0</v>
      </c>
    </row>
    <row r="152" spans="1:16" ht="38.25" x14ac:dyDescent="0.2">
      <c r="A152" s="1"/>
      <c r="B152" s="42" t="s">
        <v>281</v>
      </c>
      <c r="C152" s="14"/>
      <c r="D152" s="10" t="s">
        <v>282</v>
      </c>
      <c r="E152" s="10"/>
      <c r="F152" s="10"/>
      <c r="G152" s="10"/>
      <c r="H152" s="11">
        <f>H153+H154+H155+H156+H157+H158+H159</f>
        <v>1677090.1</v>
      </c>
      <c r="I152" s="11">
        <f t="shared" ref="I152:P152" si="84">I153+I154+I155+I156+I157+I158+I159</f>
        <v>24370</v>
      </c>
      <c r="J152" s="11">
        <f t="shared" si="84"/>
        <v>657160.51</v>
      </c>
      <c r="K152" s="11">
        <f t="shared" si="84"/>
        <v>186700.48000000004</v>
      </c>
      <c r="L152" s="11">
        <f t="shared" si="84"/>
        <v>1821254.84</v>
      </c>
      <c r="M152" s="11" t="e">
        <f t="shared" si="84"/>
        <v>#DIV/0!</v>
      </c>
      <c r="N152" s="11" t="e">
        <f t="shared" si="84"/>
        <v>#DIV/0!</v>
      </c>
      <c r="O152" s="11" t="e">
        <f t="shared" si="84"/>
        <v>#DIV/0!</v>
      </c>
      <c r="P152" s="11">
        <f t="shared" si="84"/>
        <v>1677090.1</v>
      </c>
    </row>
    <row r="153" spans="1:16" ht="51" x14ac:dyDescent="0.2">
      <c r="A153" s="1"/>
      <c r="B153" s="43" t="s">
        <v>283</v>
      </c>
      <c r="C153" s="27" t="s">
        <v>20</v>
      </c>
      <c r="D153" s="17" t="s">
        <v>284</v>
      </c>
      <c r="E153" s="17" t="s">
        <v>229</v>
      </c>
      <c r="F153" s="17"/>
      <c r="G153" s="17"/>
      <c r="H153" s="18">
        <v>0</v>
      </c>
      <c r="I153" s="18">
        <v>0</v>
      </c>
      <c r="J153" s="18">
        <f>[1]апрель!L144</f>
        <v>0</v>
      </c>
      <c r="K153" s="18">
        <f>0</f>
        <v>0</v>
      </c>
      <c r="L153" s="18">
        <v>0</v>
      </c>
      <c r="M153" s="20" t="e">
        <f t="shared" si="71"/>
        <v>#DIV/0!</v>
      </c>
      <c r="N153" s="21" t="e">
        <f t="shared" si="72"/>
        <v>#DIV/0!</v>
      </c>
      <c r="O153" s="20" t="e">
        <f t="shared" si="73"/>
        <v>#DIV/0!</v>
      </c>
      <c r="P153" s="22">
        <f>H153+Q153</f>
        <v>0</v>
      </c>
    </row>
    <row r="154" spans="1:16" ht="51" x14ac:dyDescent="0.2">
      <c r="A154" s="1"/>
      <c r="B154" s="43" t="s">
        <v>283</v>
      </c>
      <c r="C154" s="27" t="s">
        <v>20</v>
      </c>
      <c r="D154" s="17" t="s">
        <v>285</v>
      </c>
      <c r="E154" s="17" t="s">
        <v>214</v>
      </c>
      <c r="F154" s="17"/>
      <c r="G154" s="17"/>
      <c r="H154" s="18">
        <v>0</v>
      </c>
      <c r="I154" s="18">
        <v>0</v>
      </c>
      <c r="J154" s="18">
        <f>[1]апрель!L145</f>
        <v>0</v>
      </c>
      <c r="K154" s="18">
        <f>0</f>
        <v>0</v>
      </c>
      <c r="L154" s="18">
        <v>0</v>
      </c>
      <c r="M154" s="20">
        <v>0</v>
      </c>
      <c r="N154" s="21" t="e">
        <f t="shared" si="72"/>
        <v>#DIV/0!</v>
      </c>
      <c r="O154" s="20" t="e">
        <f t="shared" si="73"/>
        <v>#DIV/0!</v>
      </c>
      <c r="P154" s="22">
        <f t="shared" ref="P154:P158" si="85">H154+Q154</f>
        <v>0</v>
      </c>
    </row>
    <row r="155" spans="1:16" ht="51" x14ac:dyDescent="0.2">
      <c r="A155" s="1"/>
      <c r="B155" s="43" t="s">
        <v>283</v>
      </c>
      <c r="C155" s="27" t="s">
        <v>20</v>
      </c>
      <c r="D155" s="17" t="s">
        <v>286</v>
      </c>
      <c r="E155" s="17" t="s">
        <v>287</v>
      </c>
      <c r="F155" s="17"/>
      <c r="G155" s="17"/>
      <c r="H155" s="18">
        <v>0</v>
      </c>
      <c r="I155" s="18">
        <v>0</v>
      </c>
      <c r="J155" s="18">
        <f>[1]апрель!L146</f>
        <v>0</v>
      </c>
      <c r="K155" s="18">
        <f>0</f>
        <v>0</v>
      </c>
      <c r="L155" s="18">
        <v>0</v>
      </c>
      <c r="M155" s="20" t="e">
        <f t="shared" si="71"/>
        <v>#DIV/0!</v>
      </c>
      <c r="N155" s="21" t="e">
        <f t="shared" si="72"/>
        <v>#DIV/0!</v>
      </c>
      <c r="O155" s="20" t="e">
        <f t="shared" si="73"/>
        <v>#DIV/0!</v>
      </c>
      <c r="P155" s="22">
        <f t="shared" si="85"/>
        <v>0</v>
      </c>
    </row>
    <row r="156" spans="1:16" ht="51" x14ac:dyDescent="0.2">
      <c r="A156" s="1"/>
      <c r="B156" s="43" t="s">
        <v>283</v>
      </c>
      <c r="C156" s="27" t="s">
        <v>20</v>
      </c>
      <c r="D156" s="17" t="s">
        <v>288</v>
      </c>
      <c r="E156" s="17" t="s">
        <v>180</v>
      </c>
      <c r="F156" s="17"/>
      <c r="G156" s="17"/>
      <c r="H156" s="18">
        <v>1671090.1</v>
      </c>
      <c r="I156" s="18">
        <v>24370</v>
      </c>
      <c r="J156" s="18">
        <f>[1]апрель!L147</f>
        <v>657160.51</v>
      </c>
      <c r="K156" s="18">
        <f>82000+1000+2600+8013.07+7601.86+5075.17+260.33+1013.65+29653.77+314.94+33024.28+2002.17+6721.01+4420.23</f>
        <v>183700.48000000004</v>
      </c>
      <c r="L156" s="19">
        <v>1815254.84</v>
      </c>
      <c r="M156" s="20">
        <f t="shared" si="71"/>
        <v>108.62698785660929</v>
      </c>
      <c r="N156" s="21">
        <f t="shared" si="72"/>
        <v>108.62698785660929</v>
      </c>
      <c r="O156" s="20">
        <f t="shared" si="73"/>
        <v>753.79762002462053</v>
      </c>
      <c r="P156" s="22">
        <f t="shared" si="85"/>
        <v>1671090.1</v>
      </c>
    </row>
    <row r="157" spans="1:16" ht="51" x14ac:dyDescent="0.2">
      <c r="A157" s="1"/>
      <c r="B157" s="43" t="s">
        <v>289</v>
      </c>
      <c r="C157" s="27" t="s">
        <v>20</v>
      </c>
      <c r="D157" s="17" t="s">
        <v>290</v>
      </c>
      <c r="E157" s="17" t="s">
        <v>180</v>
      </c>
      <c r="F157" s="17"/>
      <c r="G157" s="17"/>
      <c r="H157" s="18">
        <v>3000</v>
      </c>
      <c r="I157" s="18">
        <v>0</v>
      </c>
      <c r="J157" s="18">
        <f>[1]апрель!L148</f>
        <v>0</v>
      </c>
      <c r="K157" s="18">
        <f>0</f>
        <v>0</v>
      </c>
      <c r="L157" s="19">
        <v>3000</v>
      </c>
      <c r="M157" s="20">
        <f t="shared" si="71"/>
        <v>100</v>
      </c>
      <c r="N157" s="21">
        <f>L157/H157*100</f>
        <v>100</v>
      </c>
      <c r="O157" s="20" t="e">
        <f>K157/I157*100</f>
        <v>#DIV/0!</v>
      </c>
      <c r="P157" s="22">
        <f t="shared" si="85"/>
        <v>3000</v>
      </c>
    </row>
    <row r="158" spans="1:16" ht="114.75" x14ac:dyDescent="0.2">
      <c r="A158" s="1"/>
      <c r="B158" s="43" t="s">
        <v>291</v>
      </c>
      <c r="C158" s="27" t="s">
        <v>20</v>
      </c>
      <c r="D158" s="17" t="s">
        <v>292</v>
      </c>
      <c r="E158" s="17"/>
      <c r="F158" s="17"/>
      <c r="G158" s="17"/>
      <c r="H158" s="18">
        <v>3000</v>
      </c>
      <c r="I158" s="18">
        <v>0</v>
      </c>
      <c r="J158" s="18">
        <v>0</v>
      </c>
      <c r="K158" s="18">
        <f>3000</f>
        <v>3000</v>
      </c>
      <c r="L158" s="19">
        <v>3000</v>
      </c>
      <c r="M158" s="20">
        <f>IF(N158&gt;200,"свыше200,0",N158)</f>
        <v>100</v>
      </c>
      <c r="N158" s="21">
        <f>L158/H158*100</f>
        <v>100</v>
      </c>
      <c r="O158" s="20" t="e">
        <f>K158/I158*100</f>
        <v>#DIV/0!</v>
      </c>
      <c r="P158" s="22">
        <f t="shared" si="85"/>
        <v>3000</v>
      </c>
    </row>
    <row r="159" spans="1:16" ht="51" x14ac:dyDescent="0.2">
      <c r="A159" s="1"/>
      <c r="B159" s="43" t="s">
        <v>293</v>
      </c>
      <c r="C159" s="27" t="s">
        <v>20</v>
      </c>
      <c r="D159" s="17" t="s">
        <v>294</v>
      </c>
      <c r="E159" s="17" t="s">
        <v>180</v>
      </c>
      <c r="F159" s="17"/>
      <c r="G159" s="17"/>
      <c r="H159" s="18">
        <v>0</v>
      </c>
      <c r="I159" s="18">
        <v>0</v>
      </c>
      <c r="J159" s="18">
        <f>[1]апрель!L149</f>
        <v>0</v>
      </c>
      <c r="K159" s="18">
        <f>0</f>
        <v>0</v>
      </c>
      <c r="L159" s="19">
        <v>0</v>
      </c>
      <c r="M159" s="20" t="e">
        <f t="shared" si="71"/>
        <v>#DIV/0!</v>
      </c>
      <c r="N159" s="21" t="e">
        <f t="shared" si="72"/>
        <v>#DIV/0!</v>
      </c>
      <c r="O159" s="20" t="e">
        <f t="shared" si="73"/>
        <v>#DIV/0!</v>
      </c>
      <c r="P159" s="22">
        <f>H159+Q159</f>
        <v>0</v>
      </c>
    </row>
    <row r="160" spans="1:16" ht="38.25" x14ac:dyDescent="0.2">
      <c r="A160" s="1"/>
      <c r="B160" s="42" t="s">
        <v>295</v>
      </c>
      <c r="C160" s="14"/>
      <c r="D160" s="10" t="s">
        <v>296</v>
      </c>
      <c r="E160" s="10"/>
      <c r="F160" s="10"/>
      <c r="G160" s="10"/>
      <c r="H160" s="11">
        <f>H161</f>
        <v>105600</v>
      </c>
      <c r="I160" s="11">
        <f t="shared" ref="I160:P160" si="86">I161</f>
        <v>0</v>
      </c>
      <c r="J160" s="11">
        <f t="shared" si="86"/>
        <v>50014.81</v>
      </c>
      <c r="K160" s="11">
        <f t="shared" si="86"/>
        <v>8300</v>
      </c>
      <c r="L160" s="11">
        <f t="shared" si="86"/>
        <v>116770.69</v>
      </c>
      <c r="M160" s="11">
        <f t="shared" si="86"/>
        <v>110.57830492424243</v>
      </c>
      <c r="N160" s="11">
        <f t="shared" si="86"/>
        <v>110.57830492424243</v>
      </c>
      <c r="O160" s="11" t="e">
        <f t="shared" si="86"/>
        <v>#DIV/0!</v>
      </c>
      <c r="P160" s="11">
        <f t="shared" si="86"/>
        <v>105600</v>
      </c>
    </row>
    <row r="161" spans="1:16" ht="38.25" x14ac:dyDescent="0.2">
      <c r="A161" s="1"/>
      <c r="B161" s="43" t="s">
        <v>295</v>
      </c>
      <c r="C161" s="27" t="s">
        <v>20</v>
      </c>
      <c r="D161" s="17" t="s">
        <v>297</v>
      </c>
      <c r="E161" s="17" t="s">
        <v>287</v>
      </c>
      <c r="F161" s="17"/>
      <c r="G161" s="17"/>
      <c r="H161" s="18">
        <v>105600</v>
      </c>
      <c r="I161" s="18">
        <v>0</v>
      </c>
      <c r="J161" s="18">
        <f>[1]апрель!L151</f>
        <v>50014.81</v>
      </c>
      <c r="K161" s="18">
        <f>300+2500+500+3500+500+1000</f>
        <v>8300</v>
      </c>
      <c r="L161" s="19">
        <v>116770.69</v>
      </c>
      <c r="M161" s="20">
        <f t="shared" si="71"/>
        <v>110.57830492424243</v>
      </c>
      <c r="N161" s="21">
        <f t="shared" si="72"/>
        <v>110.57830492424243</v>
      </c>
      <c r="O161" s="20" t="e">
        <f t="shared" si="73"/>
        <v>#DIV/0!</v>
      </c>
      <c r="P161" s="22">
        <f>H161+Q161</f>
        <v>105600</v>
      </c>
    </row>
    <row r="162" spans="1:16" ht="51" x14ac:dyDescent="0.2">
      <c r="A162" s="1"/>
      <c r="B162" s="39" t="s">
        <v>298</v>
      </c>
      <c r="C162" s="14"/>
      <c r="D162" s="10" t="s">
        <v>299</v>
      </c>
      <c r="E162" s="10"/>
      <c r="F162" s="10"/>
      <c r="G162" s="10"/>
      <c r="H162" s="11">
        <f>H163+H164</f>
        <v>2221500</v>
      </c>
      <c r="I162" s="11">
        <f t="shared" ref="I162:P162" si="87">I163+I164</f>
        <v>0</v>
      </c>
      <c r="J162" s="11">
        <f t="shared" si="87"/>
        <v>2175455.06</v>
      </c>
      <c r="K162" s="11">
        <f t="shared" si="87"/>
        <v>6000</v>
      </c>
      <c r="L162" s="11">
        <f t="shared" si="87"/>
        <v>2412948.1799999997</v>
      </c>
      <c r="M162" s="11" t="e">
        <f t="shared" si="87"/>
        <v>#DIV/0!</v>
      </c>
      <c r="N162" s="11" t="e">
        <f t="shared" si="87"/>
        <v>#DIV/0!</v>
      </c>
      <c r="O162" s="11" t="e">
        <f t="shared" si="87"/>
        <v>#DIV/0!</v>
      </c>
      <c r="P162" s="11">
        <f t="shared" si="87"/>
        <v>2221500</v>
      </c>
    </row>
    <row r="163" spans="1:16" ht="25.5" x14ac:dyDescent="0.2">
      <c r="A163" s="1"/>
      <c r="B163" s="39" t="s">
        <v>300</v>
      </c>
      <c r="C163" s="27" t="s">
        <v>20</v>
      </c>
      <c r="D163" s="17" t="s">
        <v>301</v>
      </c>
      <c r="E163" s="17" t="s">
        <v>101</v>
      </c>
      <c r="F163" s="17"/>
      <c r="G163" s="17"/>
      <c r="H163" s="18">
        <v>2221500</v>
      </c>
      <c r="I163" s="18">
        <v>0</v>
      </c>
      <c r="J163" s="18">
        <f>[1]апрель!L153</f>
        <v>2175455.06</v>
      </c>
      <c r="K163" s="18">
        <f>6000</f>
        <v>6000</v>
      </c>
      <c r="L163" s="18">
        <v>2340048.84</v>
      </c>
      <c r="M163" s="48">
        <f t="shared" si="71"/>
        <v>105.33643214044564</v>
      </c>
      <c r="N163" s="21">
        <f t="shared" si="72"/>
        <v>105.33643214044564</v>
      </c>
      <c r="O163" s="48" t="e">
        <f t="shared" si="73"/>
        <v>#DIV/0!</v>
      </c>
      <c r="P163" s="18">
        <f>H163+Q163</f>
        <v>2221500</v>
      </c>
    </row>
    <row r="164" spans="1:16" ht="38.25" x14ac:dyDescent="0.2">
      <c r="A164" s="1"/>
      <c r="B164" s="43" t="s">
        <v>302</v>
      </c>
      <c r="C164" s="27" t="s">
        <v>20</v>
      </c>
      <c r="D164" s="17" t="s">
        <v>303</v>
      </c>
      <c r="E164" s="17" t="s">
        <v>101</v>
      </c>
      <c r="F164" s="10"/>
      <c r="G164" s="10"/>
      <c r="H164" s="18">
        <v>0</v>
      </c>
      <c r="I164" s="18">
        <v>0</v>
      </c>
      <c r="J164" s="18">
        <f>[1]апрель!L154</f>
        <v>0</v>
      </c>
      <c r="K164" s="18">
        <f>0</f>
        <v>0</v>
      </c>
      <c r="L164" s="18">
        <v>72899.34</v>
      </c>
      <c r="M164" s="48" t="e">
        <f t="shared" si="71"/>
        <v>#DIV/0!</v>
      </c>
      <c r="N164" s="21" t="e">
        <f t="shared" si="72"/>
        <v>#DIV/0!</v>
      </c>
      <c r="O164" s="48" t="e">
        <f t="shared" si="73"/>
        <v>#DIV/0!</v>
      </c>
      <c r="P164" s="18">
        <f>H164+Q164</f>
        <v>0</v>
      </c>
    </row>
    <row r="165" spans="1:16" ht="51" x14ac:dyDescent="0.2">
      <c r="A165" s="1"/>
      <c r="B165" s="39" t="s">
        <v>367</v>
      </c>
      <c r="C165" s="27"/>
      <c r="D165" s="10" t="s">
        <v>368</v>
      </c>
      <c r="E165" s="17"/>
      <c r="F165" s="10"/>
      <c r="G165" s="10"/>
      <c r="H165" s="18">
        <f>H166</f>
        <v>0</v>
      </c>
      <c r="I165" s="18">
        <f t="shared" ref="I165:P165" si="88">I166</f>
        <v>0</v>
      </c>
      <c r="J165" s="18">
        <f t="shared" si="88"/>
        <v>0</v>
      </c>
      <c r="K165" s="18">
        <f t="shared" si="88"/>
        <v>0</v>
      </c>
      <c r="L165" s="18">
        <f t="shared" si="88"/>
        <v>828.84</v>
      </c>
      <c r="M165" s="18">
        <f t="shared" si="88"/>
        <v>0</v>
      </c>
      <c r="N165" s="18">
        <f t="shared" si="88"/>
        <v>0</v>
      </c>
      <c r="O165" s="18">
        <f t="shared" si="88"/>
        <v>0</v>
      </c>
      <c r="P165" s="18">
        <f t="shared" si="88"/>
        <v>0</v>
      </c>
    </row>
    <row r="166" spans="1:16" ht="38.25" x14ac:dyDescent="0.2">
      <c r="A166" s="1"/>
      <c r="B166" s="39" t="s">
        <v>369</v>
      </c>
      <c r="C166" s="27" t="s">
        <v>20</v>
      </c>
      <c r="D166" s="17" t="s">
        <v>370</v>
      </c>
      <c r="E166" s="17"/>
      <c r="F166" s="10"/>
      <c r="G166" s="10"/>
      <c r="H166" s="18">
        <v>0</v>
      </c>
      <c r="I166" s="18"/>
      <c r="J166" s="18"/>
      <c r="K166" s="18"/>
      <c r="L166" s="18">
        <v>828.84</v>
      </c>
      <c r="M166" s="48"/>
      <c r="N166" s="21"/>
      <c r="O166" s="48"/>
      <c r="P166" s="18">
        <f>H166+Q166</f>
        <v>0</v>
      </c>
    </row>
    <row r="167" spans="1:16" ht="25.5" x14ac:dyDescent="0.2">
      <c r="A167" s="1"/>
      <c r="B167" s="42" t="s">
        <v>304</v>
      </c>
      <c r="C167" s="25"/>
      <c r="D167" s="10" t="s">
        <v>305</v>
      </c>
      <c r="E167" s="10"/>
      <c r="F167" s="10"/>
      <c r="G167" s="10"/>
      <c r="H167" s="11">
        <f t="shared" ref="H167:P168" si="89">H168</f>
        <v>0</v>
      </c>
      <c r="I167" s="11">
        <f t="shared" si="89"/>
        <v>0</v>
      </c>
      <c r="J167" s="11">
        <f t="shared" si="89"/>
        <v>0</v>
      </c>
      <c r="K167" s="11">
        <f t="shared" si="89"/>
        <v>0</v>
      </c>
      <c r="L167" s="11">
        <v>0</v>
      </c>
      <c r="M167" s="11">
        <f t="shared" si="89"/>
        <v>0</v>
      </c>
      <c r="N167" s="11" t="e">
        <f t="shared" si="89"/>
        <v>#DIV/0!</v>
      </c>
      <c r="O167" s="11" t="e">
        <f t="shared" si="89"/>
        <v>#DIV/0!</v>
      </c>
      <c r="P167" s="11">
        <f t="shared" si="89"/>
        <v>0</v>
      </c>
    </row>
    <row r="168" spans="1:16" ht="25.5" x14ac:dyDescent="0.2">
      <c r="A168" s="1"/>
      <c r="B168" s="49" t="s">
        <v>304</v>
      </c>
      <c r="C168" s="50"/>
      <c r="D168" s="10" t="s">
        <v>306</v>
      </c>
      <c r="E168" s="10"/>
      <c r="F168" s="10"/>
      <c r="G168" s="10"/>
      <c r="H168" s="11">
        <f t="shared" si="89"/>
        <v>0</v>
      </c>
      <c r="I168" s="11">
        <f t="shared" si="89"/>
        <v>0</v>
      </c>
      <c r="J168" s="11">
        <f t="shared" si="89"/>
        <v>0</v>
      </c>
      <c r="K168" s="11">
        <f t="shared" si="89"/>
        <v>0</v>
      </c>
      <c r="L168" s="11">
        <v>0</v>
      </c>
      <c r="M168" s="11">
        <f t="shared" si="89"/>
        <v>0</v>
      </c>
      <c r="N168" s="11" t="e">
        <f t="shared" si="89"/>
        <v>#DIV/0!</v>
      </c>
      <c r="O168" s="11" t="e">
        <f t="shared" si="89"/>
        <v>#DIV/0!</v>
      </c>
      <c r="P168" s="11">
        <f t="shared" si="89"/>
        <v>0</v>
      </c>
    </row>
    <row r="169" spans="1:16" ht="51" x14ac:dyDescent="0.2">
      <c r="A169" s="1"/>
      <c r="B169" s="15" t="s">
        <v>307</v>
      </c>
      <c r="C169" s="16" t="s">
        <v>20</v>
      </c>
      <c r="D169" s="17" t="s">
        <v>308</v>
      </c>
      <c r="E169" s="17" t="s">
        <v>101</v>
      </c>
      <c r="F169" s="10"/>
      <c r="G169" s="10"/>
      <c r="H169" s="18">
        <v>0</v>
      </c>
      <c r="I169" s="18">
        <v>0</v>
      </c>
      <c r="J169" s="18">
        <f>[1]апрель!L157</f>
        <v>0</v>
      </c>
      <c r="K169" s="18">
        <f>0</f>
        <v>0</v>
      </c>
      <c r="L169" s="19">
        <v>0</v>
      </c>
      <c r="M169" s="20">
        <v>0</v>
      </c>
      <c r="N169" s="21" t="e">
        <f t="shared" si="72"/>
        <v>#DIV/0!</v>
      </c>
      <c r="O169" s="20" t="e">
        <f t="shared" si="73"/>
        <v>#DIV/0!</v>
      </c>
      <c r="P169" s="22">
        <f>H169+Q169</f>
        <v>0</v>
      </c>
    </row>
    <row r="170" spans="1:16" ht="38.25" x14ac:dyDescent="0.2">
      <c r="A170" s="1"/>
      <c r="B170" s="13" t="s">
        <v>309</v>
      </c>
      <c r="C170" s="14"/>
      <c r="D170" s="10" t="s">
        <v>310</v>
      </c>
      <c r="E170" s="10"/>
      <c r="F170" s="10"/>
      <c r="G170" s="10"/>
      <c r="H170" s="11">
        <f>H171+H180</f>
        <v>142400</v>
      </c>
      <c r="I170" s="11">
        <f t="shared" ref="I170:P170" si="90">I171+I180</f>
        <v>0</v>
      </c>
      <c r="J170" s="11">
        <f t="shared" si="90"/>
        <v>64459.31</v>
      </c>
      <c r="K170" s="11">
        <f t="shared" si="90"/>
        <v>22456.07</v>
      </c>
      <c r="L170" s="11">
        <f t="shared" si="90"/>
        <v>147818.33000000002</v>
      </c>
      <c r="M170" s="11" t="e">
        <f t="shared" si="90"/>
        <v>#DIV/0!</v>
      </c>
      <c r="N170" s="11" t="e">
        <f t="shared" si="90"/>
        <v>#DIV/0!</v>
      </c>
      <c r="O170" s="11" t="e">
        <f t="shared" si="90"/>
        <v>#DIV/0!</v>
      </c>
      <c r="P170" s="11">
        <f t="shared" si="90"/>
        <v>142400</v>
      </c>
    </row>
    <row r="171" spans="1:16" ht="38.25" x14ac:dyDescent="0.2">
      <c r="A171" s="1"/>
      <c r="B171" s="42" t="s">
        <v>311</v>
      </c>
      <c r="C171" s="16"/>
      <c r="D171" s="10" t="s">
        <v>312</v>
      </c>
      <c r="E171" s="17"/>
      <c r="F171" s="17"/>
      <c r="G171" s="17"/>
      <c r="H171" s="11">
        <f>SUM(H172:H179)</f>
        <v>142400</v>
      </c>
      <c r="I171" s="11">
        <f t="shared" ref="I171:P171" si="91">SUM(I172:I179)</f>
        <v>0</v>
      </c>
      <c r="J171" s="11">
        <f t="shared" si="91"/>
        <v>64600.36</v>
      </c>
      <c r="K171" s="11">
        <f t="shared" si="91"/>
        <v>22156.07</v>
      </c>
      <c r="L171" s="11">
        <f t="shared" si="91"/>
        <v>147316.38</v>
      </c>
      <c r="M171" s="11" t="e">
        <f t="shared" si="91"/>
        <v>#DIV/0!</v>
      </c>
      <c r="N171" s="11" t="e">
        <f t="shared" si="91"/>
        <v>#DIV/0!</v>
      </c>
      <c r="O171" s="11" t="e">
        <f t="shared" si="91"/>
        <v>#DIV/0!</v>
      </c>
      <c r="P171" s="11">
        <f t="shared" si="91"/>
        <v>142400</v>
      </c>
    </row>
    <row r="172" spans="1:16" ht="38.25" x14ac:dyDescent="0.2">
      <c r="A172" s="1"/>
      <c r="B172" s="43" t="s">
        <v>311</v>
      </c>
      <c r="C172" s="27" t="s">
        <v>20</v>
      </c>
      <c r="D172" s="17" t="s">
        <v>313</v>
      </c>
      <c r="E172" s="17" t="s">
        <v>101</v>
      </c>
      <c r="F172" s="17"/>
      <c r="G172" s="17"/>
      <c r="H172" s="18">
        <v>2500</v>
      </c>
      <c r="I172" s="18">
        <v>0</v>
      </c>
      <c r="J172" s="18">
        <f>[1]апрель!L160</f>
        <v>2485.19</v>
      </c>
      <c r="K172" s="18">
        <f>0</f>
        <v>0</v>
      </c>
      <c r="L172" s="18">
        <v>2485.19</v>
      </c>
      <c r="M172" s="20">
        <f t="shared" si="71"/>
        <v>99.407600000000002</v>
      </c>
      <c r="N172" s="21">
        <f t="shared" si="72"/>
        <v>99.407600000000002</v>
      </c>
      <c r="O172" s="20" t="e">
        <f t="shared" si="73"/>
        <v>#DIV/0!</v>
      </c>
      <c r="P172" s="22">
        <f>H172+Q172</f>
        <v>2500</v>
      </c>
    </row>
    <row r="173" spans="1:16" ht="38.25" x14ac:dyDescent="0.2">
      <c r="A173" s="1"/>
      <c r="B173" s="43" t="s">
        <v>311</v>
      </c>
      <c r="C173" s="27" t="s">
        <v>20</v>
      </c>
      <c r="D173" s="17" t="s">
        <v>314</v>
      </c>
      <c r="E173" s="17" t="s">
        <v>136</v>
      </c>
      <c r="F173" s="17"/>
      <c r="G173" s="17"/>
      <c r="H173" s="18">
        <v>0</v>
      </c>
      <c r="I173" s="18">
        <v>0</v>
      </c>
      <c r="J173" s="18">
        <f>[1]апрель!L161</f>
        <v>0</v>
      </c>
      <c r="K173" s="18">
        <f>0</f>
        <v>0</v>
      </c>
      <c r="L173" s="18">
        <v>0</v>
      </c>
      <c r="M173" s="20" t="e">
        <f t="shared" si="71"/>
        <v>#DIV/0!</v>
      </c>
      <c r="N173" s="21" t="e">
        <f t="shared" si="72"/>
        <v>#DIV/0!</v>
      </c>
      <c r="O173" s="20" t="e">
        <f t="shared" si="73"/>
        <v>#DIV/0!</v>
      </c>
      <c r="P173" s="22">
        <f t="shared" ref="P173:P179" si="92">H173+Q173</f>
        <v>0</v>
      </c>
    </row>
    <row r="174" spans="1:16" ht="63.75" x14ac:dyDescent="0.2">
      <c r="A174" s="1"/>
      <c r="B174" s="43" t="s">
        <v>315</v>
      </c>
      <c r="C174" s="27" t="s">
        <v>20</v>
      </c>
      <c r="D174" s="17" t="s">
        <v>316</v>
      </c>
      <c r="E174" s="17" t="s">
        <v>317</v>
      </c>
      <c r="F174" s="17"/>
      <c r="G174" s="17"/>
      <c r="H174" s="18">
        <v>60900</v>
      </c>
      <c r="I174" s="18">
        <v>0</v>
      </c>
      <c r="J174" s="18">
        <f>[1]апрель!L162</f>
        <v>350</v>
      </c>
      <c r="K174" s="18">
        <f>0</f>
        <v>0</v>
      </c>
      <c r="L174" s="18">
        <v>60847.42</v>
      </c>
      <c r="M174" s="20">
        <f t="shared" si="71"/>
        <v>99.913661740558297</v>
      </c>
      <c r="N174" s="21">
        <f t="shared" si="72"/>
        <v>99.913661740558297</v>
      </c>
      <c r="O174" s="20" t="e">
        <f t="shared" si="73"/>
        <v>#DIV/0!</v>
      </c>
      <c r="P174" s="22">
        <f t="shared" si="92"/>
        <v>60900</v>
      </c>
    </row>
    <row r="175" spans="1:16" ht="51" x14ac:dyDescent="0.2">
      <c r="A175" s="1"/>
      <c r="B175" s="43" t="s">
        <v>318</v>
      </c>
      <c r="C175" s="27" t="s">
        <v>20</v>
      </c>
      <c r="D175" s="17" t="s">
        <v>319</v>
      </c>
      <c r="E175" s="17" t="s">
        <v>226</v>
      </c>
      <c r="F175" s="17"/>
      <c r="G175" s="17"/>
      <c r="H175" s="18">
        <v>0</v>
      </c>
      <c r="I175" s="18">
        <v>0</v>
      </c>
      <c r="J175" s="18">
        <f>[1]апрель!L163</f>
        <v>0</v>
      </c>
      <c r="K175" s="18">
        <f>0</f>
        <v>0</v>
      </c>
      <c r="L175" s="18">
        <v>0</v>
      </c>
      <c r="M175" s="20" t="e">
        <f t="shared" si="71"/>
        <v>#DIV/0!</v>
      </c>
      <c r="N175" s="21" t="e">
        <f t="shared" si="72"/>
        <v>#DIV/0!</v>
      </c>
      <c r="O175" s="20" t="e">
        <f t="shared" si="73"/>
        <v>#DIV/0!</v>
      </c>
      <c r="P175" s="22">
        <f t="shared" si="92"/>
        <v>0</v>
      </c>
    </row>
    <row r="176" spans="1:16" ht="38.25" x14ac:dyDescent="0.2">
      <c r="A176" s="1"/>
      <c r="B176" s="43" t="s">
        <v>320</v>
      </c>
      <c r="C176" s="27" t="s">
        <v>20</v>
      </c>
      <c r="D176" s="17" t="s">
        <v>321</v>
      </c>
      <c r="E176" s="17" t="s">
        <v>322</v>
      </c>
      <c r="F176" s="17"/>
      <c r="G176" s="17"/>
      <c r="H176" s="18">
        <v>0</v>
      </c>
      <c r="I176" s="18">
        <v>0</v>
      </c>
      <c r="J176" s="18">
        <f>[1]апрель!L164</f>
        <v>0</v>
      </c>
      <c r="K176" s="18">
        <f>0</f>
        <v>0</v>
      </c>
      <c r="L176" s="18">
        <v>0</v>
      </c>
      <c r="M176" s="20" t="e">
        <f t="shared" si="71"/>
        <v>#DIV/0!</v>
      </c>
      <c r="N176" s="21" t="e">
        <f>L176/H176*100</f>
        <v>#DIV/0!</v>
      </c>
      <c r="O176" s="20" t="e">
        <f t="shared" si="73"/>
        <v>#DIV/0!</v>
      </c>
      <c r="P176" s="22">
        <f t="shared" si="92"/>
        <v>0</v>
      </c>
    </row>
    <row r="177" spans="1:16" ht="38.25" x14ac:dyDescent="0.2">
      <c r="A177" s="1"/>
      <c r="B177" s="43" t="s">
        <v>311</v>
      </c>
      <c r="C177" s="27" t="s">
        <v>20</v>
      </c>
      <c r="D177" s="17" t="s">
        <v>323</v>
      </c>
      <c r="E177" s="17" t="s">
        <v>324</v>
      </c>
      <c r="F177" s="17"/>
      <c r="G177" s="17"/>
      <c r="H177" s="18">
        <v>79000</v>
      </c>
      <c r="I177" s="18">
        <v>0</v>
      </c>
      <c r="J177" s="18">
        <f>[1]апрель!L165</f>
        <v>56765.17</v>
      </c>
      <c r="K177" s="18">
        <f>76.69+10000+2.37+12075+2.01</f>
        <v>22156.07</v>
      </c>
      <c r="L177" s="18">
        <v>83983.77</v>
      </c>
      <c r="M177" s="20">
        <f t="shared" si="71"/>
        <v>106.30856962025317</v>
      </c>
      <c r="N177" s="21">
        <f t="shared" si="72"/>
        <v>106.30856962025317</v>
      </c>
      <c r="O177" s="20" t="e">
        <f t="shared" si="73"/>
        <v>#DIV/0!</v>
      </c>
      <c r="P177" s="22">
        <f t="shared" si="92"/>
        <v>79000</v>
      </c>
    </row>
    <row r="178" spans="1:16" ht="63.75" x14ac:dyDescent="0.2">
      <c r="A178" s="1"/>
      <c r="B178" s="15" t="s">
        <v>325</v>
      </c>
      <c r="C178" s="27" t="s">
        <v>20</v>
      </c>
      <c r="D178" s="17" t="s">
        <v>326</v>
      </c>
      <c r="E178" s="17" t="s">
        <v>327</v>
      </c>
      <c r="F178" s="17"/>
      <c r="G178" s="17"/>
      <c r="H178" s="18">
        <v>0</v>
      </c>
      <c r="I178" s="18">
        <v>0</v>
      </c>
      <c r="J178" s="18">
        <f>[1]апрель!L166</f>
        <v>5000</v>
      </c>
      <c r="K178" s="18">
        <f>0</f>
        <v>0</v>
      </c>
      <c r="L178" s="18">
        <v>0</v>
      </c>
      <c r="M178" s="20" t="e">
        <f t="shared" si="71"/>
        <v>#DIV/0!</v>
      </c>
      <c r="N178" s="21" t="e">
        <f t="shared" si="72"/>
        <v>#DIV/0!</v>
      </c>
      <c r="O178" s="20" t="e">
        <f t="shared" si="73"/>
        <v>#DIV/0!</v>
      </c>
      <c r="P178" s="22">
        <f>H178+Q178</f>
        <v>0</v>
      </c>
    </row>
    <row r="179" spans="1:16" ht="76.5" x14ac:dyDescent="0.2">
      <c r="A179" s="1"/>
      <c r="B179" s="43" t="s">
        <v>328</v>
      </c>
      <c r="C179" s="27" t="s">
        <v>20</v>
      </c>
      <c r="D179" s="17" t="s">
        <v>329</v>
      </c>
      <c r="E179" s="17" t="s">
        <v>330</v>
      </c>
      <c r="F179" s="17"/>
      <c r="G179" s="17"/>
      <c r="H179" s="18">
        <v>0</v>
      </c>
      <c r="I179" s="18">
        <v>0</v>
      </c>
      <c r="J179" s="18">
        <f>[1]апрель!L167</f>
        <v>0</v>
      </c>
      <c r="K179" s="18">
        <f>0</f>
        <v>0</v>
      </c>
      <c r="L179" s="18">
        <v>0</v>
      </c>
      <c r="M179" s="20" t="e">
        <f t="shared" si="71"/>
        <v>#DIV/0!</v>
      </c>
      <c r="N179" s="21" t="e">
        <f t="shared" si="72"/>
        <v>#DIV/0!</v>
      </c>
      <c r="O179" s="20" t="e">
        <f t="shared" si="73"/>
        <v>#DIV/0!</v>
      </c>
      <c r="P179" s="22">
        <f t="shared" si="92"/>
        <v>0</v>
      </c>
    </row>
    <row r="180" spans="1:16" ht="38.25" x14ac:dyDescent="0.2">
      <c r="A180" s="1"/>
      <c r="B180" s="13" t="s">
        <v>309</v>
      </c>
      <c r="C180" s="14"/>
      <c r="D180" s="10" t="s">
        <v>310</v>
      </c>
      <c r="E180" s="10"/>
      <c r="F180" s="10"/>
      <c r="G180" s="10"/>
      <c r="H180" s="11">
        <f>H181</f>
        <v>0</v>
      </c>
      <c r="I180" s="11">
        <f t="shared" ref="I180:P180" si="93">I181</f>
        <v>0</v>
      </c>
      <c r="J180" s="11">
        <f t="shared" si="93"/>
        <v>-141.05000000000001</v>
      </c>
      <c r="K180" s="11">
        <f t="shared" si="93"/>
        <v>300</v>
      </c>
      <c r="L180" s="11">
        <f t="shared" si="93"/>
        <v>501.95</v>
      </c>
      <c r="M180" s="11" t="e">
        <f t="shared" si="93"/>
        <v>#DIV/0!</v>
      </c>
      <c r="N180" s="11" t="e">
        <f t="shared" si="93"/>
        <v>#DIV/0!</v>
      </c>
      <c r="O180" s="11" t="e">
        <f t="shared" si="93"/>
        <v>#DIV/0!</v>
      </c>
      <c r="P180" s="11">
        <f t="shared" si="93"/>
        <v>0</v>
      </c>
    </row>
    <row r="181" spans="1:16" ht="38.25" x14ac:dyDescent="0.2">
      <c r="A181" s="1"/>
      <c r="B181" s="15" t="s">
        <v>331</v>
      </c>
      <c r="C181" s="16" t="s">
        <v>20</v>
      </c>
      <c r="D181" s="17" t="s">
        <v>332</v>
      </c>
      <c r="E181" s="17" t="s">
        <v>22</v>
      </c>
      <c r="F181" s="10"/>
      <c r="G181" s="10"/>
      <c r="H181" s="18">
        <v>0</v>
      </c>
      <c r="I181" s="18">
        <v>0</v>
      </c>
      <c r="J181" s="18">
        <f>[1]апрель!L169</f>
        <v>-141.05000000000001</v>
      </c>
      <c r="K181" s="18">
        <f>300</f>
        <v>300</v>
      </c>
      <c r="L181" s="19">
        <v>501.95</v>
      </c>
      <c r="M181" s="20" t="e">
        <f t="shared" si="71"/>
        <v>#DIV/0!</v>
      </c>
      <c r="N181" s="21" t="e">
        <f>L181/H181*100</f>
        <v>#DIV/0!</v>
      </c>
      <c r="O181" s="20" t="e">
        <f t="shared" si="73"/>
        <v>#DIV/0!</v>
      </c>
      <c r="P181" s="22">
        <v>0</v>
      </c>
    </row>
    <row r="182" spans="1:16" x14ac:dyDescent="0.2">
      <c r="A182" s="1"/>
      <c r="B182" s="42" t="s">
        <v>333</v>
      </c>
      <c r="C182" s="25"/>
      <c r="D182" s="10" t="s">
        <v>334</v>
      </c>
      <c r="E182" s="10"/>
      <c r="F182" s="10"/>
      <c r="G182" s="10"/>
      <c r="H182" s="11">
        <f>H183</f>
        <v>11600000</v>
      </c>
      <c r="I182" s="11">
        <f t="shared" ref="I182:P183" si="94">I183</f>
        <v>0</v>
      </c>
      <c r="J182" s="11">
        <f t="shared" si="94"/>
        <v>7022616.2399999993</v>
      </c>
      <c r="K182" s="11">
        <f t="shared" si="94"/>
        <v>2584066.06</v>
      </c>
      <c r="L182" s="11">
        <f t="shared" si="94"/>
        <v>13524857.630000001</v>
      </c>
      <c r="M182" s="11">
        <f t="shared" si="94"/>
        <v>116.59360025862068</v>
      </c>
      <c r="N182" s="11">
        <f t="shared" si="94"/>
        <v>116.59360025862068</v>
      </c>
      <c r="O182" s="11" t="e">
        <f t="shared" si="94"/>
        <v>#DIV/0!</v>
      </c>
      <c r="P182" s="11">
        <f t="shared" si="94"/>
        <v>11600000</v>
      </c>
    </row>
    <row r="183" spans="1:16" ht="38.25" x14ac:dyDescent="0.2">
      <c r="A183" s="1"/>
      <c r="B183" s="42" t="s">
        <v>335</v>
      </c>
      <c r="C183" s="25"/>
      <c r="D183" s="10" t="s">
        <v>336</v>
      </c>
      <c r="E183" s="10"/>
      <c r="F183" s="10"/>
      <c r="G183" s="10"/>
      <c r="H183" s="11">
        <f>H184</f>
        <v>11600000</v>
      </c>
      <c r="I183" s="11">
        <f t="shared" si="94"/>
        <v>0</v>
      </c>
      <c r="J183" s="11">
        <f t="shared" si="94"/>
        <v>7022616.2399999993</v>
      </c>
      <c r="K183" s="11">
        <f t="shared" si="94"/>
        <v>2584066.06</v>
      </c>
      <c r="L183" s="11">
        <f t="shared" si="94"/>
        <v>13524857.630000001</v>
      </c>
      <c r="M183" s="11">
        <f t="shared" si="94"/>
        <v>116.59360025862068</v>
      </c>
      <c r="N183" s="11">
        <f t="shared" si="94"/>
        <v>116.59360025862068</v>
      </c>
      <c r="O183" s="11" t="e">
        <f t="shared" si="94"/>
        <v>#DIV/0!</v>
      </c>
      <c r="P183" s="11">
        <f t="shared" si="94"/>
        <v>11600000</v>
      </c>
    </row>
    <row r="184" spans="1:16" ht="38.25" x14ac:dyDescent="0.2">
      <c r="B184" s="43" t="s">
        <v>335</v>
      </c>
      <c r="C184" s="27" t="s">
        <v>20</v>
      </c>
      <c r="D184" s="17" t="s">
        <v>337</v>
      </c>
      <c r="E184" s="17" t="s">
        <v>101</v>
      </c>
      <c r="F184" s="17"/>
      <c r="G184" s="17"/>
      <c r="H184" s="18">
        <v>11600000</v>
      </c>
      <c r="I184" s="18">
        <v>0</v>
      </c>
      <c r="J184" s="18">
        <f>[1]апрель!L172</f>
        <v>7022616.2399999993</v>
      </c>
      <c r="K184" s="18">
        <f>537105.76+1870.54+46527.88+19680.04+1830865.18+139517.04+8499.62</f>
        <v>2584066.06</v>
      </c>
      <c r="L184" s="19">
        <v>13524857.630000001</v>
      </c>
      <c r="M184" s="20">
        <f>IF(N184&gt;200,"свыше200,0",N184)</f>
        <v>116.59360025862068</v>
      </c>
      <c r="N184" s="21">
        <f>L184/H184*100</f>
        <v>116.59360025862068</v>
      </c>
      <c r="O184" s="20" t="e">
        <f>K184/I184*100</f>
        <v>#DIV/0!</v>
      </c>
      <c r="P184" s="22">
        <f>H184+Q184</f>
        <v>11600000</v>
      </c>
    </row>
    <row r="185" spans="1:16" x14ac:dyDescent="0.2">
      <c r="B185" s="13" t="s">
        <v>338</v>
      </c>
      <c r="C185" s="14"/>
      <c r="D185" s="10" t="s">
        <v>339</v>
      </c>
      <c r="E185" s="10"/>
      <c r="F185" s="10"/>
      <c r="G185" s="10"/>
      <c r="H185" s="11">
        <f>H186+H188+H190</f>
        <v>958500</v>
      </c>
      <c r="I185" s="11">
        <f t="shared" ref="I185:P185" si="95">I186+I188+I190</f>
        <v>0</v>
      </c>
      <c r="J185" s="11">
        <f t="shared" si="95"/>
        <v>51283.259999999995</v>
      </c>
      <c r="K185" s="11">
        <f t="shared" si="95"/>
        <v>81383.88</v>
      </c>
      <c r="L185" s="11">
        <f>L186+L188+L190</f>
        <v>893597.73</v>
      </c>
      <c r="M185" s="11">
        <f t="shared" si="95"/>
        <v>77.980108925659977</v>
      </c>
      <c r="N185" s="11">
        <f t="shared" si="95"/>
        <v>77.980108925659977</v>
      </c>
      <c r="O185" s="11" t="e">
        <f t="shared" si="95"/>
        <v>#DIV/0!</v>
      </c>
      <c r="P185" s="11">
        <f t="shared" si="95"/>
        <v>958500</v>
      </c>
    </row>
    <row r="186" spans="1:16" x14ac:dyDescent="0.2">
      <c r="B186" s="13" t="s">
        <v>340</v>
      </c>
      <c r="C186" s="14"/>
      <c r="D186" s="10" t="s">
        <v>341</v>
      </c>
      <c r="E186" s="10"/>
      <c r="F186" s="10"/>
      <c r="G186" s="10"/>
      <c r="H186" s="11">
        <f>H187</f>
        <v>0</v>
      </c>
      <c r="I186" s="11">
        <f t="shared" ref="I186:P186" si="96">I187</f>
        <v>0</v>
      </c>
      <c r="J186" s="11">
        <f t="shared" si="96"/>
        <v>-1425.5299999999993</v>
      </c>
      <c r="K186" s="11">
        <f t="shared" si="96"/>
        <v>16020</v>
      </c>
      <c r="L186" s="11">
        <v>-1425.5299999999993</v>
      </c>
      <c r="M186" s="11">
        <f t="shared" si="96"/>
        <v>0</v>
      </c>
      <c r="N186" s="11">
        <f t="shared" si="96"/>
        <v>0</v>
      </c>
      <c r="O186" s="11" t="e">
        <f t="shared" si="96"/>
        <v>#DIV/0!</v>
      </c>
      <c r="P186" s="11">
        <f t="shared" si="96"/>
        <v>0</v>
      </c>
    </row>
    <row r="187" spans="1:16" x14ac:dyDescent="0.2">
      <c r="B187" s="15" t="s">
        <v>342</v>
      </c>
      <c r="C187" s="27" t="s">
        <v>20</v>
      </c>
      <c r="D187" s="17" t="s">
        <v>343</v>
      </c>
      <c r="E187" s="17" t="s">
        <v>101</v>
      </c>
      <c r="F187" s="10"/>
      <c r="G187" s="10"/>
      <c r="H187" s="18">
        <v>0</v>
      </c>
      <c r="I187" s="18">
        <v>0</v>
      </c>
      <c r="J187" s="18">
        <f>[1]апрель!L175</f>
        <v>-1425.5299999999993</v>
      </c>
      <c r="K187" s="18">
        <f>16020</f>
        <v>16020</v>
      </c>
      <c r="L187" s="19">
        <v>-1425.5299999999993</v>
      </c>
      <c r="M187" s="20">
        <f t="shared" si="71"/>
        <v>0</v>
      </c>
      <c r="N187" s="21">
        <v>0</v>
      </c>
      <c r="O187" s="20" t="e">
        <f t="shared" si="73"/>
        <v>#DIV/0!</v>
      </c>
      <c r="P187" s="22">
        <f>H187+Q187</f>
        <v>0</v>
      </c>
    </row>
    <row r="188" spans="1:16" x14ac:dyDescent="0.2">
      <c r="B188" s="13" t="s">
        <v>344</v>
      </c>
      <c r="C188" s="14"/>
      <c r="D188" s="10" t="s">
        <v>345</v>
      </c>
      <c r="E188" s="10"/>
      <c r="F188" s="10"/>
      <c r="G188" s="10"/>
      <c r="H188" s="11">
        <f>H189</f>
        <v>288270</v>
      </c>
      <c r="I188" s="11">
        <f t="shared" ref="I188:P188" si="97">I189</f>
        <v>0</v>
      </c>
      <c r="J188" s="11">
        <f t="shared" si="97"/>
        <v>52708.789999999994</v>
      </c>
      <c r="K188" s="11">
        <f t="shared" si="97"/>
        <v>65363.88</v>
      </c>
      <c r="L188" s="11">
        <f t="shared" si="97"/>
        <v>224793.26</v>
      </c>
      <c r="M188" s="11">
        <f t="shared" si="97"/>
        <v>77.980108925659977</v>
      </c>
      <c r="N188" s="11">
        <f t="shared" si="97"/>
        <v>77.980108925659977</v>
      </c>
      <c r="O188" s="11" t="e">
        <f t="shared" si="97"/>
        <v>#DIV/0!</v>
      </c>
      <c r="P188" s="11">
        <f t="shared" si="97"/>
        <v>288270</v>
      </c>
    </row>
    <row r="189" spans="1:16" x14ac:dyDescent="0.2">
      <c r="B189" s="15" t="s">
        <v>346</v>
      </c>
      <c r="C189" s="27" t="s">
        <v>20</v>
      </c>
      <c r="D189" s="17" t="s">
        <v>347</v>
      </c>
      <c r="E189" s="17" t="s">
        <v>101</v>
      </c>
      <c r="F189" s="17"/>
      <c r="G189" s="17"/>
      <c r="H189" s="18">
        <v>288270</v>
      </c>
      <c r="I189" s="18">
        <v>0</v>
      </c>
      <c r="J189" s="18">
        <f>[1]апрель!L177</f>
        <v>52708.789999999994</v>
      </c>
      <c r="K189" s="18">
        <f>4880+29913.73+4099.77+11234.52+4381.56+8382.67+2450+21.63</f>
        <v>65363.88</v>
      </c>
      <c r="L189" s="19">
        <v>224793.26</v>
      </c>
      <c r="M189" s="20">
        <f t="shared" si="71"/>
        <v>77.980108925659977</v>
      </c>
      <c r="N189" s="21">
        <f t="shared" ref="N189" si="98">L189/H189*100</f>
        <v>77.980108925659977</v>
      </c>
      <c r="O189" s="20" t="e">
        <f t="shared" si="73"/>
        <v>#DIV/0!</v>
      </c>
      <c r="P189" s="22">
        <f>H189+Q189</f>
        <v>288270</v>
      </c>
    </row>
    <row r="190" spans="1:16" s="44" customFormat="1" x14ac:dyDescent="0.2">
      <c r="A190" s="2"/>
      <c r="B190" s="13" t="s">
        <v>357</v>
      </c>
      <c r="C190" s="25"/>
      <c r="D190" s="10" t="s">
        <v>360</v>
      </c>
      <c r="E190" s="10"/>
      <c r="F190" s="10"/>
      <c r="G190" s="10"/>
      <c r="H190" s="11">
        <f>H191</f>
        <v>670230</v>
      </c>
      <c r="I190" s="11">
        <f t="shared" ref="I190:P190" si="99">I191</f>
        <v>0</v>
      </c>
      <c r="J190" s="11">
        <f t="shared" si="99"/>
        <v>0</v>
      </c>
      <c r="K190" s="11">
        <f t="shared" si="99"/>
        <v>0</v>
      </c>
      <c r="L190" s="11">
        <f t="shared" si="99"/>
        <v>670230</v>
      </c>
      <c r="M190" s="11">
        <f t="shared" si="99"/>
        <v>0</v>
      </c>
      <c r="N190" s="11">
        <f t="shared" si="99"/>
        <v>0</v>
      </c>
      <c r="O190" s="11">
        <f t="shared" si="99"/>
        <v>0</v>
      </c>
      <c r="P190" s="11">
        <f t="shared" si="99"/>
        <v>670230</v>
      </c>
    </row>
    <row r="191" spans="1:16" ht="25.5" x14ac:dyDescent="0.2">
      <c r="B191" s="15" t="s">
        <v>356</v>
      </c>
      <c r="C191" s="27"/>
      <c r="D191" s="17" t="s">
        <v>361</v>
      </c>
      <c r="E191" s="17"/>
      <c r="F191" s="17"/>
      <c r="G191" s="17"/>
      <c r="H191" s="18">
        <v>670230</v>
      </c>
      <c r="I191" s="18"/>
      <c r="J191" s="18"/>
      <c r="K191" s="18"/>
      <c r="L191" s="19">
        <v>670230</v>
      </c>
      <c r="M191" s="20"/>
      <c r="N191" s="21"/>
      <c r="O191" s="20"/>
      <c r="P191" s="22">
        <f>H191+Q191</f>
        <v>670230</v>
      </c>
    </row>
    <row r="192" spans="1:16" x14ac:dyDescent="0.2">
      <c r="A192" s="1"/>
      <c r="B192" s="13" t="s">
        <v>348</v>
      </c>
      <c r="C192" s="14"/>
      <c r="D192" s="10"/>
      <c r="E192" s="10"/>
      <c r="F192" s="10"/>
      <c r="G192" s="10"/>
      <c r="H192" s="51">
        <f t="shared" ref="H192:P192" si="100">SUM(H6)</f>
        <v>1346994387.3399999</v>
      </c>
      <c r="I192" s="51">
        <f t="shared" si="100"/>
        <v>91591690.069999993</v>
      </c>
      <c r="J192" s="51">
        <f t="shared" si="100"/>
        <v>467057638.0800001</v>
      </c>
      <c r="K192" s="51">
        <f t="shared" si="100"/>
        <v>102612891.04000002</v>
      </c>
      <c r="L192" s="51">
        <f t="shared" si="100"/>
        <v>932879553.83000004</v>
      </c>
      <c r="M192" s="51" t="e">
        <f t="shared" si="100"/>
        <v>#DIV/0!</v>
      </c>
      <c r="N192" s="51" t="e">
        <f t="shared" si="100"/>
        <v>#DIV/0!</v>
      </c>
      <c r="O192" s="51" t="e">
        <f t="shared" si="100"/>
        <v>#DIV/0!</v>
      </c>
      <c r="P192" s="51">
        <f t="shared" si="100"/>
        <v>1346994387.3399999</v>
      </c>
    </row>
    <row r="193" spans="1:16" ht="13.5" x14ac:dyDescent="0.25">
      <c r="A193" s="1"/>
      <c r="B193" s="52" t="s">
        <v>349</v>
      </c>
      <c r="C193" s="36"/>
      <c r="D193" s="53"/>
      <c r="E193" s="53"/>
      <c r="F193" s="53"/>
      <c r="G193" s="53"/>
      <c r="H193" s="54">
        <v>148718550</v>
      </c>
      <c r="I193" s="54">
        <f>I9/43.75*8.25</f>
        <v>12860223.8292</v>
      </c>
      <c r="J193" s="54">
        <f>J9/43.75*8.25</f>
        <v>51400730.398285724</v>
      </c>
      <c r="K193" s="54">
        <f>K9/43.75*8.25</f>
        <v>12467309.042571429</v>
      </c>
      <c r="L193" s="54">
        <f>L9/43.2*7.7</f>
        <v>101723620.78618056</v>
      </c>
      <c r="M193" s="55">
        <f t="shared" ref="M193" si="101">IF(N193&gt;200,"свыше200,0",N193)</f>
        <v>68.400089152416129</v>
      </c>
      <c r="N193" s="21">
        <f t="shared" ref="N193" si="102">L193/H193*100</f>
        <v>68.400089152416129</v>
      </c>
      <c r="O193" s="55">
        <f t="shared" ref="O193" si="103">K193/I193*100</f>
        <v>96.944728242315421</v>
      </c>
      <c r="P193" s="56">
        <f>H193</f>
        <v>148718550</v>
      </c>
    </row>
    <row r="194" spans="1:16" x14ac:dyDescent="0.2">
      <c r="A194" s="1"/>
      <c r="B194" s="1"/>
    </row>
    <row r="195" spans="1:16" x14ac:dyDescent="0.2">
      <c r="A195" s="1"/>
      <c r="B195" s="1"/>
    </row>
    <row r="196" spans="1:16" x14ac:dyDescent="0.2">
      <c r="A196" s="1"/>
      <c r="B196" s="1"/>
    </row>
    <row r="197" spans="1:16" x14ac:dyDescent="0.2">
      <c r="A197" s="1"/>
      <c r="B197" s="1"/>
    </row>
    <row r="198" spans="1:16" x14ac:dyDescent="0.2">
      <c r="A198" s="1"/>
      <c r="B198" s="1"/>
    </row>
    <row r="199" spans="1:16" x14ac:dyDescent="0.2">
      <c r="A199" s="1"/>
      <c r="B199" s="1"/>
    </row>
    <row r="200" spans="1:16" x14ac:dyDescent="0.2">
      <c r="A200" s="1"/>
      <c r="B200" s="1"/>
    </row>
    <row r="201" spans="1:16" x14ac:dyDescent="0.2">
      <c r="A201" s="1"/>
      <c r="B201" s="1"/>
    </row>
    <row r="202" spans="1:16" x14ac:dyDescent="0.2">
      <c r="A202" s="1"/>
      <c r="B202" s="1"/>
    </row>
    <row r="203" spans="1:16" x14ac:dyDescent="0.2">
      <c r="A203" s="1"/>
      <c r="B203" s="1"/>
    </row>
    <row r="204" spans="1:16" x14ac:dyDescent="0.2">
      <c r="A204" s="1"/>
      <c r="B204" s="1"/>
    </row>
    <row r="205" spans="1:16" x14ac:dyDescent="0.2">
      <c r="A205" s="1"/>
      <c r="B205" s="1"/>
    </row>
    <row r="206" spans="1:16" x14ac:dyDescent="0.2">
      <c r="A206" s="1"/>
      <c r="B206" s="1"/>
    </row>
    <row r="207" spans="1:16" x14ac:dyDescent="0.2">
      <c r="A207" s="1"/>
      <c r="B207" s="1"/>
    </row>
    <row r="208" spans="1:16" x14ac:dyDescent="0.2">
      <c r="A208" s="1"/>
      <c r="B208" s="1"/>
    </row>
    <row r="209" spans="1:16" x14ac:dyDescent="0.2">
      <c r="A209" s="1"/>
      <c r="B209" s="1"/>
    </row>
    <row r="210" spans="1:16" x14ac:dyDescent="0.2">
      <c r="A210" s="1"/>
      <c r="B210" s="1"/>
      <c r="C210" s="1"/>
      <c r="D210" s="1"/>
      <c r="E210" s="1"/>
      <c r="F210" s="1"/>
      <c r="G210" s="1"/>
      <c r="H210" s="1"/>
      <c r="I210" s="1"/>
      <c r="J210" s="1"/>
      <c r="K210" s="1"/>
      <c r="L210" s="1"/>
      <c r="M210" s="1"/>
      <c r="N210" s="1"/>
      <c r="O210" s="1"/>
      <c r="P210" s="1"/>
    </row>
    <row r="211" spans="1:16" x14ac:dyDescent="0.2">
      <c r="A211" s="1"/>
      <c r="B211" s="1"/>
      <c r="C211" s="1"/>
      <c r="D211" s="1"/>
      <c r="E211" s="1"/>
      <c r="F211" s="1"/>
      <c r="G211" s="1"/>
      <c r="H211" s="1"/>
      <c r="I211" s="1"/>
      <c r="J211" s="1"/>
      <c r="K211" s="1"/>
      <c r="L211" s="1"/>
      <c r="M211" s="1"/>
      <c r="N211" s="1"/>
      <c r="O211" s="1"/>
      <c r="P211" s="1"/>
    </row>
    <row r="212" spans="1:16" x14ac:dyDescent="0.2">
      <c r="A212" s="1"/>
      <c r="B212" s="1"/>
      <c r="C212" s="1"/>
      <c r="D212" s="1"/>
      <c r="E212" s="1"/>
      <c r="F212" s="1"/>
      <c r="G212" s="1"/>
      <c r="H212" s="1"/>
      <c r="I212" s="1"/>
      <c r="J212" s="1"/>
      <c r="K212" s="1"/>
      <c r="L212" s="1"/>
      <c r="M212" s="1"/>
      <c r="N212" s="1"/>
      <c r="O212" s="1"/>
      <c r="P212" s="1"/>
    </row>
    <row r="213" spans="1:16" x14ac:dyDescent="0.2">
      <c r="A213" s="1"/>
      <c r="B213" s="1"/>
      <c r="C213" s="1"/>
      <c r="D213" s="1"/>
      <c r="E213" s="1"/>
      <c r="F213" s="1"/>
      <c r="G213" s="1"/>
      <c r="H213" s="1"/>
      <c r="I213" s="1"/>
      <c r="J213" s="1"/>
      <c r="K213" s="1"/>
      <c r="L213" s="1"/>
      <c r="M213" s="1"/>
      <c r="N213" s="1"/>
      <c r="O213" s="1"/>
      <c r="P213" s="1"/>
    </row>
    <row r="214" spans="1:16" x14ac:dyDescent="0.2">
      <c r="A214" s="1"/>
      <c r="B214" s="1"/>
      <c r="C214" s="1"/>
      <c r="D214" s="1"/>
      <c r="E214" s="1"/>
      <c r="F214" s="1"/>
      <c r="G214" s="1"/>
      <c r="H214" s="1"/>
      <c r="I214" s="1"/>
      <c r="J214" s="1"/>
      <c r="K214" s="1"/>
      <c r="L214" s="1"/>
      <c r="M214" s="1"/>
      <c r="N214" s="1"/>
      <c r="O214" s="1"/>
      <c r="P214" s="1"/>
    </row>
    <row r="215" spans="1:16" x14ac:dyDescent="0.2">
      <c r="A215" s="1"/>
      <c r="B215" s="1"/>
      <c r="C215" s="1"/>
      <c r="D215" s="1"/>
      <c r="E215" s="1"/>
      <c r="F215" s="1"/>
      <c r="G215" s="1"/>
      <c r="H215" s="1"/>
      <c r="I215" s="1"/>
      <c r="J215" s="1"/>
      <c r="K215" s="1"/>
      <c r="L215" s="1"/>
      <c r="M215" s="1"/>
      <c r="N215" s="1"/>
      <c r="O215" s="1"/>
      <c r="P215" s="1"/>
    </row>
    <row r="216" spans="1:16" x14ac:dyDescent="0.2">
      <c r="A216" s="1"/>
      <c r="B216" s="1"/>
      <c r="C216" s="1"/>
      <c r="D216" s="1"/>
      <c r="E216" s="1"/>
      <c r="F216" s="1"/>
      <c r="G216" s="1"/>
      <c r="H216" s="1"/>
      <c r="I216" s="1"/>
      <c r="J216" s="1"/>
      <c r="K216" s="1"/>
      <c r="L216" s="1"/>
      <c r="M216" s="1"/>
      <c r="N216" s="1"/>
      <c r="O216" s="1"/>
      <c r="P216" s="1"/>
    </row>
    <row r="217" spans="1:16" x14ac:dyDescent="0.2">
      <c r="A217" s="1"/>
      <c r="B217" s="1"/>
      <c r="C217" s="1"/>
      <c r="D217" s="1"/>
      <c r="E217" s="1"/>
      <c r="F217" s="1"/>
      <c r="G217" s="1"/>
      <c r="H217" s="1"/>
      <c r="I217" s="1"/>
      <c r="J217" s="1"/>
      <c r="K217" s="1"/>
      <c r="L217" s="1"/>
      <c r="M217" s="1"/>
      <c r="N217" s="1"/>
      <c r="O217" s="1"/>
      <c r="P217" s="1"/>
    </row>
    <row r="218" spans="1:16" x14ac:dyDescent="0.2">
      <c r="A218" s="1"/>
      <c r="B218" s="1"/>
      <c r="C218" s="1"/>
      <c r="D218" s="1"/>
      <c r="E218" s="1"/>
      <c r="F218" s="1"/>
      <c r="G218" s="1"/>
      <c r="H218" s="1"/>
      <c r="I218" s="1"/>
      <c r="J218" s="1"/>
      <c r="K218" s="1"/>
      <c r="L218" s="1"/>
      <c r="M218" s="1"/>
      <c r="N218" s="1"/>
      <c r="O218" s="1"/>
      <c r="P218" s="1"/>
    </row>
    <row r="219" spans="1:16" x14ac:dyDescent="0.2">
      <c r="A219" s="1"/>
      <c r="B219" s="1"/>
      <c r="C219" s="1"/>
      <c r="D219" s="1"/>
      <c r="E219" s="1"/>
      <c r="F219" s="1"/>
      <c r="G219" s="1"/>
      <c r="H219" s="1"/>
      <c r="I219" s="1"/>
      <c r="J219" s="1"/>
      <c r="K219" s="1"/>
      <c r="L219" s="1"/>
      <c r="M219" s="1"/>
      <c r="N219" s="1"/>
      <c r="O219" s="1"/>
      <c r="P219" s="1"/>
    </row>
    <row r="220" spans="1:16" x14ac:dyDescent="0.2">
      <c r="A220" s="1"/>
      <c r="B220" s="1"/>
      <c r="C220" s="1"/>
      <c r="D220" s="1"/>
      <c r="E220" s="1"/>
      <c r="F220" s="1"/>
      <c r="G220" s="1"/>
      <c r="H220" s="1"/>
      <c r="I220" s="1"/>
      <c r="J220" s="1"/>
      <c r="K220" s="1"/>
      <c r="L220" s="1"/>
      <c r="M220" s="1"/>
      <c r="N220" s="1"/>
      <c r="O220" s="1"/>
      <c r="P220" s="1"/>
    </row>
    <row r="221" spans="1:16" x14ac:dyDescent="0.2">
      <c r="A221" s="1"/>
      <c r="B221" s="1"/>
      <c r="C221" s="1"/>
      <c r="D221" s="1"/>
      <c r="E221" s="1"/>
      <c r="F221" s="1"/>
      <c r="G221" s="1"/>
      <c r="H221" s="1"/>
      <c r="I221" s="1"/>
      <c r="J221" s="1"/>
      <c r="K221" s="1"/>
      <c r="L221" s="1"/>
      <c r="M221" s="1"/>
      <c r="N221" s="1"/>
      <c r="O221" s="1"/>
      <c r="P221" s="1"/>
    </row>
    <row r="222" spans="1:16" x14ac:dyDescent="0.2">
      <c r="A222" s="1"/>
      <c r="B222" s="1"/>
      <c r="C222" s="1"/>
      <c r="D222" s="1"/>
      <c r="E222" s="1"/>
      <c r="F222" s="1"/>
      <c r="G222" s="1"/>
      <c r="H222" s="1"/>
      <c r="I222" s="1"/>
      <c r="J222" s="1"/>
      <c r="K222" s="1"/>
      <c r="L222" s="1"/>
      <c r="M222" s="1"/>
      <c r="N222" s="1"/>
      <c r="O222" s="1"/>
      <c r="P222" s="1"/>
    </row>
    <row r="223" spans="1:16" x14ac:dyDescent="0.2">
      <c r="A223" s="1"/>
      <c r="B223" s="1"/>
      <c r="C223" s="1"/>
      <c r="D223" s="1"/>
      <c r="E223" s="1"/>
      <c r="F223" s="1"/>
      <c r="G223" s="1"/>
      <c r="H223" s="1"/>
      <c r="I223" s="1"/>
      <c r="J223" s="1"/>
      <c r="K223" s="1"/>
      <c r="L223" s="1"/>
      <c r="M223" s="1"/>
      <c r="N223" s="1"/>
      <c r="O223" s="1"/>
      <c r="P223" s="1"/>
    </row>
    <row r="224" spans="1:16" x14ac:dyDescent="0.2">
      <c r="A224" s="1"/>
      <c r="B224" s="1"/>
      <c r="C224" s="1"/>
      <c r="D224" s="1"/>
      <c r="E224" s="1"/>
      <c r="F224" s="1"/>
      <c r="G224" s="1"/>
      <c r="H224" s="1"/>
      <c r="I224" s="1"/>
      <c r="J224" s="1"/>
      <c r="K224" s="1"/>
      <c r="L224" s="1"/>
      <c r="M224" s="1"/>
      <c r="N224" s="1"/>
      <c r="O224" s="1"/>
      <c r="P224" s="1"/>
    </row>
    <row r="225" spans="1:16" x14ac:dyDescent="0.2">
      <c r="A225" s="1"/>
      <c r="B225" s="1"/>
      <c r="C225" s="1"/>
      <c r="D225" s="1"/>
      <c r="E225" s="1"/>
      <c r="F225" s="1"/>
      <c r="G225" s="1"/>
      <c r="H225" s="1"/>
      <c r="I225" s="1"/>
      <c r="J225" s="1"/>
      <c r="K225" s="1"/>
      <c r="L225" s="1"/>
      <c r="M225" s="1"/>
      <c r="N225" s="1"/>
      <c r="O225" s="1"/>
      <c r="P225" s="1"/>
    </row>
    <row r="226" spans="1:16" x14ac:dyDescent="0.2">
      <c r="A226" s="1"/>
      <c r="B226" s="1"/>
      <c r="C226" s="1"/>
      <c r="D226" s="1"/>
      <c r="E226" s="1"/>
      <c r="F226" s="1"/>
      <c r="G226" s="1"/>
      <c r="H226" s="1"/>
      <c r="I226" s="1"/>
      <c r="J226" s="1"/>
      <c r="K226" s="1"/>
      <c r="L226" s="1"/>
      <c r="M226" s="1"/>
      <c r="N226" s="1"/>
      <c r="O226" s="1"/>
      <c r="P226" s="1"/>
    </row>
    <row r="227" spans="1:16" x14ac:dyDescent="0.2">
      <c r="A227" s="1"/>
      <c r="B227" s="1"/>
      <c r="C227" s="1"/>
      <c r="D227" s="1"/>
      <c r="E227" s="1"/>
      <c r="F227" s="1"/>
      <c r="G227" s="1"/>
      <c r="H227" s="1"/>
      <c r="I227" s="1"/>
      <c r="J227" s="1"/>
      <c r="K227" s="1"/>
      <c r="L227" s="1"/>
      <c r="M227" s="1"/>
      <c r="N227" s="1"/>
      <c r="O227" s="1"/>
      <c r="P227" s="1"/>
    </row>
    <row r="228" spans="1:16" x14ac:dyDescent="0.2">
      <c r="A228" s="1"/>
      <c r="B228" s="1"/>
      <c r="C228" s="1"/>
      <c r="D228" s="1"/>
      <c r="E228" s="1"/>
      <c r="F228" s="1"/>
      <c r="G228" s="1"/>
      <c r="H228" s="1"/>
      <c r="I228" s="1"/>
      <c r="J228" s="1"/>
      <c r="K228" s="1"/>
      <c r="L228" s="1"/>
      <c r="M228" s="1"/>
      <c r="N228" s="1"/>
      <c r="O228" s="1"/>
      <c r="P228" s="1"/>
    </row>
    <row r="229" spans="1:16" x14ac:dyDescent="0.2">
      <c r="A229" s="1"/>
      <c r="B229" s="1"/>
      <c r="C229" s="1"/>
      <c r="D229" s="1"/>
      <c r="E229" s="1"/>
      <c r="F229" s="1"/>
      <c r="G229" s="1"/>
      <c r="H229" s="1"/>
      <c r="I229" s="1"/>
      <c r="J229" s="1"/>
      <c r="K229" s="1"/>
      <c r="L229" s="1"/>
      <c r="M229" s="1"/>
      <c r="N229" s="1"/>
      <c r="O229" s="1"/>
      <c r="P229" s="1"/>
    </row>
    <row r="230" spans="1:16" x14ac:dyDescent="0.2">
      <c r="A230" s="1"/>
      <c r="B230" s="1"/>
      <c r="C230" s="1"/>
      <c r="D230" s="1"/>
      <c r="E230" s="1"/>
      <c r="F230" s="1"/>
      <c r="G230" s="1"/>
      <c r="H230" s="1"/>
      <c r="I230" s="1"/>
      <c r="J230" s="1"/>
      <c r="K230" s="1"/>
      <c r="L230" s="1"/>
      <c r="M230" s="1"/>
      <c r="N230" s="1"/>
      <c r="O230" s="1"/>
      <c r="P230" s="1"/>
    </row>
    <row r="231" spans="1:16" x14ac:dyDescent="0.2">
      <c r="A231" s="1"/>
      <c r="B231" s="1"/>
      <c r="C231" s="1"/>
      <c r="D231" s="1"/>
      <c r="E231" s="1"/>
      <c r="F231" s="1"/>
      <c r="G231" s="1"/>
      <c r="H231" s="1"/>
      <c r="I231" s="1"/>
      <c r="J231" s="1"/>
      <c r="K231" s="1"/>
      <c r="L231" s="1"/>
      <c r="M231" s="1"/>
      <c r="N231" s="1"/>
      <c r="O231" s="1"/>
      <c r="P231" s="1"/>
    </row>
    <row r="232" spans="1:16" x14ac:dyDescent="0.2">
      <c r="A232" s="1"/>
      <c r="B232" s="1"/>
      <c r="C232" s="1"/>
      <c r="D232" s="1"/>
      <c r="E232" s="1"/>
      <c r="F232" s="1"/>
      <c r="G232" s="1"/>
      <c r="H232" s="1"/>
      <c r="I232" s="1"/>
      <c r="J232" s="1"/>
      <c r="K232" s="1"/>
      <c r="L232" s="1"/>
      <c r="M232" s="1"/>
      <c r="N232" s="1"/>
      <c r="O232" s="1"/>
      <c r="P232" s="1"/>
    </row>
    <row r="233" spans="1:16" x14ac:dyDescent="0.2">
      <c r="A233" s="1"/>
      <c r="B233" s="1"/>
      <c r="C233" s="1"/>
      <c r="D233" s="1"/>
      <c r="E233" s="1"/>
      <c r="F233" s="1"/>
      <c r="G233" s="1"/>
      <c r="H233" s="1"/>
      <c r="I233" s="1"/>
      <c r="J233" s="1"/>
      <c r="K233" s="1"/>
      <c r="L233" s="1"/>
      <c r="M233" s="1"/>
      <c r="N233" s="1"/>
      <c r="O233" s="1"/>
      <c r="P233" s="1"/>
    </row>
    <row r="234" spans="1:16" x14ac:dyDescent="0.2">
      <c r="A234" s="1"/>
      <c r="B234" s="1"/>
      <c r="C234" s="1"/>
      <c r="D234" s="1"/>
      <c r="E234" s="1"/>
      <c r="F234" s="1"/>
      <c r="G234" s="1"/>
      <c r="H234" s="1"/>
      <c r="I234" s="1"/>
      <c r="J234" s="1"/>
      <c r="K234" s="1"/>
      <c r="L234" s="1"/>
      <c r="M234" s="1"/>
      <c r="N234" s="1"/>
      <c r="O234" s="1"/>
      <c r="P234" s="1"/>
    </row>
    <row r="235" spans="1:16" x14ac:dyDescent="0.2">
      <c r="A235" s="1"/>
      <c r="B235" s="1"/>
      <c r="C235" s="1"/>
      <c r="D235" s="1"/>
      <c r="E235" s="1"/>
      <c r="F235" s="1"/>
      <c r="G235" s="1"/>
      <c r="H235" s="1"/>
      <c r="I235" s="1"/>
      <c r="J235" s="1"/>
      <c r="K235" s="1"/>
      <c r="L235" s="1"/>
      <c r="M235" s="1"/>
      <c r="N235" s="1"/>
      <c r="O235" s="1"/>
      <c r="P235" s="1"/>
    </row>
    <row r="236" spans="1:16" x14ac:dyDescent="0.2">
      <c r="A236" s="1"/>
      <c r="B236" s="1"/>
      <c r="C236" s="1"/>
      <c r="D236" s="1"/>
      <c r="E236" s="1"/>
      <c r="F236" s="1"/>
      <c r="G236" s="1"/>
      <c r="H236" s="1"/>
      <c r="I236" s="1"/>
      <c r="J236" s="1"/>
      <c r="K236" s="1"/>
      <c r="L236" s="1"/>
      <c r="M236" s="1"/>
      <c r="N236" s="1"/>
      <c r="O236" s="1"/>
      <c r="P236" s="1"/>
    </row>
    <row r="237" spans="1:16" x14ac:dyDescent="0.2">
      <c r="A237" s="1"/>
      <c r="B237" s="1"/>
      <c r="C237" s="1"/>
      <c r="D237" s="1"/>
      <c r="E237" s="1"/>
      <c r="F237" s="1"/>
      <c r="G237" s="1"/>
      <c r="H237" s="1"/>
      <c r="I237" s="1"/>
      <c r="J237" s="1"/>
      <c r="K237" s="1"/>
      <c r="L237" s="1"/>
      <c r="M237" s="1"/>
      <c r="N237" s="1"/>
      <c r="O237" s="1"/>
      <c r="P237" s="1"/>
    </row>
    <row r="238" spans="1:16" x14ac:dyDescent="0.2">
      <c r="A238" s="1"/>
      <c r="B238" s="1"/>
      <c r="C238" s="1"/>
      <c r="D238" s="1"/>
      <c r="E238" s="1"/>
      <c r="F238" s="1"/>
      <c r="G238" s="1"/>
      <c r="H238" s="1"/>
      <c r="I238" s="1"/>
      <c r="J238" s="1"/>
      <c r="K238" s="1"/>
      <c r="L238" s="1"/>
      <c r="M238" s="1"/>
      <c r="N238" s="1"/>
      <c r="O238" s="1"/>
      <c r="P238" s="1"/>
    </row>
    <row r="239" spans="1:16" x14ac:dyDescent="0.2">
      <c r="A239" s="1"/>
      <c r="B239" s="1"/>
      <c r="C239" s="1"/>
      <c r="D239" s="1"/>
      <c r="E239" s="1"/>
      <c r="F239" s="1"/>
      <c r="G239" s="1"/>
      <c r="H239" s="1"/>
      <c r="I239" s="1"/>
      <c r="J239" s="1"/>
      <c r="K239" s="1"/>
      <c r="L239" s="1"/>
      <c r="M239" s="1"/>
      <c r="N239" s="1"/>
      <c r="O239" s="1"/>
      <c r="P239" s="1"/>
    </row>
    <row r="240" spans="1:16" x14ac:dyDescent="0.2">
      <c r="A240" s="1"/>
      <c r="B240" s="1"/>
      <c r="C240" s="1"/>
      <c r="D240" s="1"/>
      <c r="E240" s="1"/>
      <c r="F240" s="1"/>
      <c r="G240" s="1"/>
      <c r="H240" s="1"/>
      <c r="I240" s="1"/>
      <c r="J240" s="1"/>
      <c r="K240" s="1"/>
      <c r="L240" s="1"/>
      <c r="M240" s="1"/>
      <c r="N240" s="1"/>
      <c r="O240" s="1"/>
      <c r="P240" s="1"/>
    </row>
    <row r="241" spans="1:16" x14ac:dyDescent="0.2">
      <c r="A241" s="1"/>
      <c r="B241" s="1"/>
      <c r="C241" s="1"/>
      <c r="D241" s="1"/>
      <c r="E241" s="1"/>
      <c r="F241" s="1"/>
      <c r="G241" s="1"/>
      <c r="H241" s="1"/>
      <c r="I241" s="1"/>
      <c r="J241" s="1"/>
      <c r="K241" s="1"/>
      <c r="L241" s="1"/>
      <c r="M241" s="1"/>
      <c r="N241" s="1"/>
      <c r="O241" s="1"/>
      <c r="P241" s="1"/>
    </row>
    <row r="242" spans="1:16" x14ac:dyDescent="0.2">
      <c r="A242" s="1"/>
      <c r="B242" s="1"/>
      <c r="C242" s="1"/>
      <c r="D242" s="1"/>
      <c r="E242" s="1"/>
      <c r="F242" s="1"/>
      <c r="G242" s="1"/>
      <c r="H242" s="1"/>
      <c r="I242" s="1"/>
      <c r="J242" s="1"/>
      <c r="K242" s="1"/>
      <c r="L242" s="1"/>
      <c r="M242" s="1"/>
      <c r="N242" s="1"/>
      <c r="O242" s="1"/>
      <c r="P242" s="1"/>
    </row>
    <row r="243" spans="1:16" x14ac:dyDescent="0.2">
      <c r="A243" s="1"/>
      <c r="B243" s="1"/>
      <c r="C243" s="1"/>
      <c r="D243" s="1"/>
      <c r="E243" s="1"/>
      <c r="F243" s="1"/>
      <c r="G243" s="1"/>
      <c r="H243" s="1"/>
      <c r="I243" s="1"/>
      <c r="J243" s="1"/>
      <c r="K243" s="1"/>
      <c r="L243" s="1"/>
      <c r="M243" s="1"/>
      <c r="N243" s="1"/>
      <c r="O243" s="1"/>
      <c r="P243" s="1"/>
    </row>
    <row r="244" spans="1:16" x14ac:dyDescent="0.2">
      <c r="A244" s="1"/>
      <c r="B244" s="1"/>
      <c r="C244" s="1"/>
      <c r="D244" s="1"/>
      <c r="E244" s="1"/>
      <c r="F244" s="1"/>
      <c r="G244" s="1"/>
      <c r="H244" s="1"/>
      <c r="I244" s="1"/>
      <c r="J244" s="1"/>
      <c r="K244" s="1"/>
      <c r="L244" s="1"/>
      <c r="M244" s="1"/>
      <c r="N244" s="1"/>
      <c r="O244" s="1"/>
      <c r="P244" s="1"/>
    </row>
    <row r="245" spans="1:16" x14ac:dyDescent="0.2">
      <c r="A245" s="1"/>
      <c r="B245" s="1"/>
      <c r="C245" s="1"/>
      <c r="D245" s="1"/>
      <c r="E245" s="1"/>
      <c r="F245" s="1"/>
      <c r="G245" s="1"/>
      <c r="H245" s="1"/>
      <c r="I245" s="1"/>
      <c r="J245" s="1"/>
      <c r="K245" s="1"/>
      <c r="L245" s="1"/>
      <c r="M245" s="1"/>
      <c r="N245" s="1"/>
      <c r="O245" s="1"/>
      <c r="P245" s="1"/>
    </row>
    <row r="246" spans="1:16" x14ac:dyDescent="0.2">
      <c r="A246" s="1"/>
      <c r="B246" s="1"/>
      <c r="C246" s="1"/>
      <c r="D246" s="1"/>
      <c r="E246" s="1"/>
      <c r="F246" s="1"/>
      <c r="G246" s="1"/>
      <c r="H246" s="1"/>
      <c r="I246" s="1"/>
      <c r="J246" s="1"/>
      <c r="K246" s="1"/>
      <c r="L246" s="1"/>
      <c r="M246" s="1"/>
      <c r="N246" s="1"/>
      <c r="O246" s="1"/>
      <c r="P246" s="1"/>
    </row>
    <row r="247" spans="1:16" x14ac:dyDescent="0.2">
      <c r="A247" s="1"/>
      <c r="B247" s="1"/>
      <c r="C247" s="1"/>
      <c r="D247" s="1"/>
      <c r="E247" s="1"/>
      <c r="F247" s="1"/>
      <c r="G247" s="1"/>
      <c r="H247" s="1"/>
      <c r="I247" s="1"/>
      <c r="J247" s="1"/>
      <c r="K247" s="1"/>
      <c r="L247" s="1"/>
      <c r="M247" s="1"/>
      <c r="N247" s="1"/>
      <c r="O247" s="1"/>
      <c r="P247" s="1"/>
    </row>
    <row r="248" spans="1:16" x14ac:dyDescent="0.2">
      <c r="A248" s="1"/>
      <c r="B248" s="1"/>
      <c r="C248" s="1"/>
      <c r="D248" s="1"/>
      <c r="E248" s="1"/>
      <c r="F248" s="1"/>
      <c r="G248" s="1"/>
      <c r="H248" s="1"/>
      <c r="I248" s="1"/>
      <c r="J248" s="1"/>
      <c r="K248" s="1"/>
      <c r="L248" s="1"/>
      <c r="M248" s="1"/>
      <c r="N248" s="1"/>
      <c r="O248" s="1"/>
      <c r="P248" s="1"/>
    </row>
    <row r="249" spans="1:16" x14ac:dyDescent="0.2">
      <c r="A249" s="1"/>
      <c r="B249" s="1"/>
      <c r="C249" s="1"/>
      <c r="D249" s="1"/>
      <c r="E249" s="1"/>
      <c r="F249" s="1"/>
      <c r="G249" s="1"/>
      <c r="H249" s="1"/>
      <c r="I249" s="1"/>
      <c r="J249" s="1"/>
      <c r="K249" s="1"/>
      <c r="L249" s="1"/>
      <c r="M249" s="1"/>
      <c r="N249" s="1"/>
      <c r="O249" s="1"/>
      <c r="P249" s="1"/>
    </row>
    <row r="250" spans="1:16" x14ac:dyDescent="0.2">
      <c r="A250" s="1"/>
      <c r="B250" s="1"/>
      <c r="C250" s="1"/>
      <c r="D250" s="1"/>
      <c r="E250" s="1"/>
      <c r="F250" s="1"/>
      <c r="G250" s="1"/>
      <c r="H250" s="1"/>
      <c r="I250" s="1"/>
      <c r="J250" s="1"/>
      <c r="K250" s="1"/>
      <c r="L250" s="1"/>
      <c r="M250" s="1"/>
      <c r="N250" s="1"/>
      <c r="O250" s="1"/>
      <c r="P250" s="1"/>
    </row>
    <row r="251" spans="1:16" x14ac:dyDescent="0.2">
      <c r="A251" s="1"/>
      <c r="B251" s="1"/>
      <c r="C251" s="1"/>
      <c r="D251" s="1"/>
      <c r="E251" s="1"/>
      <c r="F251" s="1"/>
      <c r="G251" s="1"/>
      <c r="H251" s="1"/>
      <c r="I251" s="1"/>
      <c r="J251" s="1"/>
      <c r="K251" s="1"/>
      <c r="L251" s="1"/>
      <c r="M251" s="1"/>
      <c r="N251" s="1"/>
      <c r="O251" s="1"/>
      <c r="P251" s="1"/>
    </row>
    <row r="252" spans="1:16" x14ac:dyDescent="0.2">
      <c r="A252" s="1"/>
      <c r="B252" s="1"/>
      <c r="C252" s="1"/>
      <c r="D252" s="1"/>
      <c r="E252" s="1"/>
      <c r="F252" s="1"/>
      <c r="G252" s="1"/>
      <c r="H252" s="1"/>
      <c r="I252" s="1"/>
      <c r="J252" s="1"/>
      <c r="K252" s="1"/>
      <c r="L252" s="1"/>
      <c r="M252" s="1"/>
      <c r="N252" s="1"/>
      <c r="O252" s="1"/>
      <c r="P252" s="1"/>
    </row>
    <row r="253" spans="1:16" x14ac:dyDescent="0.2">
      <c r="A253" s="1"/>
      <c r="B253" s="1"/>
      <c r="C253" s="1"/>
      <c r="D253" s="1"/>
      <c r="E253" s="1"/>
      <c r="F253" s="1"/>
      <c r="G253" s="1"/>
      <c r="H253" s="1"/>
      <c r="I253" s="1"/>
      <c r="J253" s="1"/>
      <c r="K253" s="1"/>
      <c r="L253" s="1"/>
      <c r="M253" s="1"/>
      <c r="N253" s="1"/>
      <c r="O253" s="1"/>
      <c r="P253" s="1"/>
    </row>
    <row r="254" spans="1:16" x14ac:dyDescent="0.2">
      <c r="A254" s="1"/>
      <c r="B254" s="1"/>
      <c r="C254" s="1"/>
      <c r="D254" s="1"/>
      <c r="E254" s="1"/>
      <c r="F254" s="1"/>
      <c r="G254" s="1"/>
      <c r="H254" s="1"/>
      <c r="I254" s="1"/>
      <c r="J254" s="1"/>
      <c r="K254" s="1"/>
      <c r="L254" s="1"/>
      <c r="M254" s="1"/>
      <c r="N254" s="1"/>
      <c r="O254" s="1"/>
      <c r="P254" s="1"/>
    </row>
    <row r="255" spans="1:16" x14ac:dyDescent="0.2">
      <c r="A255" s="1"/>
      <c r="B255" s="1"/>
      <c r="C255" s="1"/>
      <c r="D255" s="1"/>
      <c r="E255" s="1"/>
      <c r="F255" s="1"/>
      <c r="G255" s="1"/>
      <c r="H255" s="1"/>
      <c r="I255" s="1"/>
      <c r="J255" s="1"/>
      <c r="K255" s="1"/>
      <c r="L255" s="1"/>
      <c r="M255" s="1"/>
      <c r="N255" s="1"/>
      <c r="O255" s="1"/>
      <c r="P255" s="1"/>
    </row>
    <row r="256" spans="1:16" x14ac:dyDescent="0.2">
      <c r="A256" s="1"/>
      <c r="B256" s="1"/>
      <c r="C256" s="1"/>
      <c r="D256" s="1"/>
      <c r="E256" s="1"/>
      <c r="F256" s="1"/>
      <c r="G256" s="1"/>
      <c r="H256" s="1"/>
      <c r="I256" s="1"/>
      <c r="J256" s="1"/>
      <c r="K256" s="1"/>
      <c r="L256" s="1"/>
      <c r="M256" s="1"/>
      <c r="N256" s="1"/>
      <c r="O256" s="1"/>
      <c r="P256" s="1"/>
    </row>
    <row r="257" spans="1:16" x14ac:dyDescent="0.2">
      <c r="A257" s="1"/>
      <c r="B257" s="1"/>
      <c r="C257" s="1"/>
      <c r="D257" s="1"/>
      <c r="E257" s="1"/>
      <c r="F257" s="1"/>
      <c r="G257" s="1"/>
      <c r="H257" s="1"/>
      <c r="I257" s="1"/>
      <c r="J257" s="1"/>
      <c r="K257" s="1"/>
      <c r="L257" s="1"/>
      <c r="M257" s="1"/>
      <c r="N257" s="1"/>
      <c r="O257" s="1"/>
      <c r="P257" s="1"/>
    </row>
    <row r="258" spans="1:16" x14ac:dyDescent="0.2">
      <c r="A258" s="1"/>
      <c r="B258" s="1"/>
      <c r="C258" s="1"/>
      <c r="D258" s="1"/>
      <c r="E258" s="1"/>
      <c r="F258" s="1"/>
      <c r="G258" s="1"/>
      <c r="H258" s="1"/>
      <c r="I258" s="1"/>
      <c r="J258" s="1"/>
      <c r="K258" s="1"/>
      <c r="L258" s="1"/>
      <c r="M258" s="1"/>
      <c r="N258" s="1"/>
      <c r="O258" s="1"/>
      <c r="P258" s="1"/>
    </row>
    <row r="259" spans="1:16" x14ac:dyDescent="0.2">
      <c r="A259" s="1"/>
      <c r="B259" s="1"/>
      <c r="C259" s="1"/>
      <c r="D259" s="1"/>
      <c r="E259" s="1"/>
      <c r="F259" s="1"/>
      <c r="G259" s="1"/>
      <c r="H259" s="1"/>
      <c r="I259" s="1"/>
      <c r="J259" s="1"/>
      <c r="K259" s="1"/>
      <c r="L259" s="1"/>
      <c r="M259" s="1"/>
      <c r="N259" s="1"/>
      <c r="O259" s="1"/>
      <c r="P259" s="1"/>
    </row>
    <row r="260" spans="1:16" x14ac:dyDescent="0.2">
      <c r="A260" s="1"/>
      <c r="B260" s="1"/>
      <c r="C260" s="1"/>
      <c r="D260" s="1"/>
      <c r="E260" s="1"/>
      <c r="F260" s="1"/>
      <c r="G260" s="1"/>
      <c r="H260" s="1"/>
      <c r="I260" s="1"/>
      <c r="J260" s="1"/>
      <c r="K260" s="1"/>
      <c r="L260" s="1"/>
      <c r="M260" s="1"/>
      <c r="N260" s="1"/>
      <c r="O260" s="1"/>
      <c r="P260" s="1"/>
    </row>
    <row r="261" spans="1:16" x14ac:dyDescent="0.2">
      <c r="A261" s="1"/>
      <c r="B261" s="1"/>
      <c r="C261" s="1"/>
      <c r="D261" s="1"/>
      <c r="E261" s="1"/>
      <c r="F261" s="1"/>
      <c r="G261" s="1"/>
      <c r="H261" s="1"/>
      <c r="I261" s="1"/>
      <c r="J261" s="1"/>
      <c r="K261" s="1"/>
      <c r="L261" s="1"/>
      <c r="M261" s="1"/>
      <c r="N261" s="1"/>
      <c r="O261" s="1"/>
      <c r="P261" s="1"/>
    </row>
    <row r="262" spans="1:16" x14ac:dyDescent="0.2">
      <c r="A262" s="1"/>
      <c r="B262" s="1"/>
      <c r="C262" s="1"/>
      <c r="D262" s="1"/>
      <c r="E262" s="1"/>
      <c r="F262" s="1"/>
      <c r="G262" s="1"/>
      <c r="H262" s="1"/>
      <c r="I262" s="1"/>
      <c r="J262" s="1"/>
      <c r="K262" s="1"/>
      <c r="L262" s="1"/>
      <c r="M262" s="1"/>
      <c r="N262" s="1"/>
      <c r="O262" s="1"/>
      <c r="P262" s="1"/>
    </row>
    <row r="263" spans="1:16" x14ac:dyDescent="0.2">
      <c r="A263" s="1"/>
      <c r="B263" s="1"/>
      <c r="C263" s="1"/>
      <c r="D263" s="1"/>
      <c r="E263" s="1"/>
      <c r="F263" s="1"/>
      <c r="G263" s="1"/>
      <c r="H263" s="1"/>
      <c r="I263" s="1"/>
      <c r="J263" s="1"/>
      <c r="K263" s="1"/>
      <c r="L263" s="1"/>
      <c r="M263" s="1"/>
      <c r="N263" s="1"/>
      <c r="O263" s="1"/>
      <c r="P263" s="1"/>
    </row>
    <row r="264" spans="1:16" x14ac:dyDescent="0.2">
      <c r="A264" s="1"/>
      <c r="B264" s="1"/>
      <c r="C264" s="1"/>
      <c r="D264" s="1"/>
      <c r="E264" s="1"/>
      <c r="F264" s="1"/>
      <c r="G264" s="1"/>
      <c r="H264" s="1"/>
      <c r="I264" s="1"/>
      <c r="J264" s="1"/>
      <c r="K264" s="1"/>
      <c r="L264" s="1"/>
      <c r="M264" s="1"/>
      <c r="N264" s="1"/>
      <c r="O264" s="1"/>
      <c r="P264" s="1"/>
    </row>
    <row r="265" spans="1:16" x14ac:dyDescent="0.2">
      <c r="A265" s="1"/>
      <c r="B265" s="1"/>
      <c r="C265" s="1"/>
      <c r="D265" s="1"/>
      <c r="E265" s="1"/>
      <c r="F265" s="1"/>
      <c r="G265" s="1"/>
      <c r="H265" s="1"/>
      <c r="I265" s="1"/>
      <c r="J265" s="1"/>
      <c r="K265" s="1"/>
      <c r="L265" s="1"/>
      <c r="M265" s="1"/>
      <c r="N265" s="1"/>
      <c r="O265" s="1"/>
      <c r="P265" s="1"/>
    </row>
    <row r="266" spans="1:16" x14ac:dyDescent="0.2">
      <c r="A266" s="1"/>
      <c r="B266" s="1"/>
      <c r="C266" s="1"/>
      <c r="D266" s="1"/>
      <c r="E266" s="1"/>
      <c r="F266" s="1"/>
      <c r="G266" s="1"/>
      <c r="H266" s="1"/>
      <c r="I266" s="1"/>
      <c r="J266" s="1"/>
      <c r="K266" s="1"/>
      <c r="L266" s="1"/>
      <c r="M266" s="1"/>
      <c r="N266" s="1"/>
      <c r="O266" s="1"/>
      <c r="P266" s="1"/>
    </row>
    <row r="267" spans="1:16" x14ac:dyDescent="0.2">
      <c r="A267" s="1"/>
      <c r="B267" s="1"/>
      <c r="C267" s="1"/>
      <c r="D267" s="1"/>
      <c r="E267" s="1"/>
      <c r="F267" s="1"/>
      <c r="G267" s="1"/>
      <c r="H267" s="1"/>
      <c r="I267" s="1"/>
      <c r="J267" s="1"/>
      <c r="K267" s="1"/>
      <c r="L267" s="1"/>
      <c r="M267" s="1"/>
      <c r="N267" s="1"/>
      <c r="O267" s="1"/>
      <c r="P267" s="1"/>
    </row>
    <row r="268" spans="1:16" x14ac:dyDescent="0.2">
      <c r="A268" s="1"/>
      <c r="B268" s="1"/>
      <c r="C268" s="1"/>
      <c r="D268" s="1"/>
      <c r="E268" s="1"/>
      <c r="F268" s="1"/>
      <c r="G268" s="1"/>
      <c r="H268" s="1"/>
      <c r="I268" s="1"/>
      <c r="J268" s="1"/>
      <c r="K268" s="1"/>
      <c r="L268" s="1"/>
      <c r="M268" s="1"/>
      <c r="N268" s="1"/>
      <c r="O268" s="1"/>
      <c r="P268" s="1"/>
    </row>
    <row r="269" spans="1:16" x14ac:dyDescent="0.2">
      <c r="A269" s="1"/>
      <c r="B269" s="1"/>
      <c r="C269" s="1"/>
      <c r="D269" s="1"/>
      <c r="E269" s="1"/>
      <c r="F269" s="1"/>
      <c r="G269" s="1"/>
      <c r="H269" s="1"/>
      <c r="I269" s="1"/>
      <c r="J269" s="1"/>
      <c r="K269" s="1"/>
      <c r="L269" s="1"/>
      <c r="M269" s="1"/>
      <c r="N269" s="1"/>
      <c r="O269" s="1"/>
      <c r="P269" s="1"/>
    </row>
    <row r="270" spans="1:16" x14ac:dyDescent="0.2">
      <c r="A270" s="1"/>
      <c r="B270" s="1"/>
      <c r="C270" s="1"/>
      <c r="D270" s="1"/>
      <c r="E270" s="1"/>
      <c r="F270" s="1"/>
      <c r="G270" s="1"/>
      <c r="H270" s="1"/>
      <c r="I270" s="1"/>
      <c r="J270" s="1"/>
      <c r="K270" s="1"/>
      <c r="L270" s="1"/>
      <c r="M270" s="1"/>
      <c r="N270" s="1"/>
      <c r="O270" s="1"/>
      <c r="P270" s="1"/>
    </row>
    <row r="271" spans="1:16" x14ac:dyDescent="0.2">
      <c r="A271" s="1"/>
      <c r="B271" s="1"/>
      <c r="C271" s="1"/>
      <c r="D271" s="1"/>
      <c r="E271" s="1"/>
      <c r="F271" s="1"/>
      <c r="G271" s="1"/>
      <c r="H271" s="1"/>
      <c r="I271" s="1"/>
      <c r="J271" s="1"/>
      <c r="K271" s="1"/>
      <c r="L271" s="1"/>
      <c r="M271" s="1"/>
      <c r="N271" s="1"/>
      <c r="O271" s="1"/>
      <c r="P271" s="1"/>
    </row>
    <row r="272" spans="1:16" x14ac:dyDescent="0.2">
      <c r="A272" s="1"/>
      <c r="B272" s="1"/>
      <c r="C272" s="1"/>
      <c r="D272" s="1"/>
      <c r="E272" s="1"/>
      <c r="F272" s="1"/>
      <c r="G272" s="1"/>
      <c r="H272" s="1"/>
      <c r="I272" s="1"/>
      <c r="J272" s="1"/>
      <c r="K272" s="1"/>
      <c r="L272" s="1"/>
      <c r="M272" s="1"/>
      <c r="N272" s="1"/>
      <c r="O272" s="1"/>
      <c r="P272" s="1"/>
    </row>
    <row r="273" spans="1:16" x14ac:dyDescent="0.2">
      <c r="A273" s="1"/>
      <c r="B273" s="1"/>
      <c r="C273" s="1"/>
      <c r="D273" s="1"/>
      <c r="E273" s="1"/>
      <c r="F273" s="1"/>
      <c r="G273" s="1"/>
      <c r="H273" s="1"/>
      <c r="I273" s="1"/>
      <c r="J273" s="1"/>
      <c r="K273" s="1"/>
      <c r="L273" s="1"/>
      <c r="M273" s="1"/>
      <c r="N273" s="1"/>
      <c r="O273" s="1"/>
      <c r="P273" s="1"/>
    </row>
    <row r="274" spans="1:16" x14ac:dyDescent="0.2">
      <c r="A274" s="1"/>
      <c r="B274" s="1"/>
      <c r="C274" s="1"/>
      <c r="D274" s="1"/>
      <c r="E274" s="1"/>
      <c r="F274" s="1"/>
      <c r="G274" s="1"/>
      <c r="H274" s="1"/>
      <c r="I274" s="1"/>
      <c r="J274" s="1"/>
      <c r="K274" s="1"/>
      <c r="L274" s="1"/>
      <c r="M274" s="1"/>
      <c r="N274" s="1"/>
      <c r="O274" s="1"/>
      <c r="P274" s="1"/>
    </row>
    <row r="275" spans="1:16" x14ac:dyDescent="0.2">
      <c r="A275" s="1"/>
      <c r="B275" s="1"/>
      <c r="C275" s="1"/>
      <c r="D275" s="1"/>
      <c r="E275" s="1"/>
      <c r="F275" s="1"/>
      <c r="G275" s="1"/>
      <c r="H275" s="1"/>
      <c r="I275" s="1"/>
      <c r="J275" s="1"/>
      <c r="K275" s="1"/>
      <c r="L275" s="1"/>
      <c r="M275" s="1"/>
      <c r="N275" s="1"/>
      <c r="O275" s="1"/>
      <c r="P275" s="1"/>
    </row>
    <row r="276" spans="1:16" x14ac:dyDescent="0.2">
      <c r="A276" s="1"/>
      <c r="B276" s="1"/>
      <c r="C276" s="1"/>
      <c r="D276" s="1"/>
      <c r="E276" s="1"/>
      <c r="F276" s="1"/>
      <c r="G276" s="1"/>
      <c r="H276" s="1"/>
      <c r="I276" s="1"/>
      <c r="J276" s="1"/>
      <c r="K276" s="1"/>
      <c r="L276" s="1"/>
      <c r="M276" s="1"/>
      <c r="N276" s="1"/>
      <c r="O276" s="1"/>
      <c r="P276" s="1"/>
    </row>
    <row r="277" spans="1:16" x14ac:dyDescent="0.2">
      <c r="A277" s="1"/>
      <c r="B277" s="1"/>
      <c r="C277" s="1"/>
      <c r="D277" s="1"/>
      <c r="E277" s="1"/>
      <c r="F277" s="1"/>
      <c r="G277" s="1"/>
      <c r="H277" s="1"/>
      <c r="I277" s="1"/>
      <c r="J277" s="1"/>
      <c r="K277" s="1"/>
      <c r="L277" s="1"/>
      <c r="M277" s="1"/>
      <c r="N277" s="1"/>
      <c r="O277" s="1"/>
      <c r="P277" s="1"/>
    </row>
    <row r="278" spans="1:16" x14ac:dyDescent="0.2">
      <c r="A278" s="1"/>
      <c r="B278" s="1"/>
      <c r="C278" s="1"/>
      <c r="D278" s="1"/>
      <c r="E278" s="1"/>
      <c r="F278" s="1"/>
      <c r="G278" s="1"/>
      <c r="H278" s="1"/>
      <c r="I278" s="1"/>
      <c r="J278" s="1"/>
      <c r="K278" s="1"/>
      <c r="L278" s="1"/>
      <c r="M278" s="1"/>
      <c r="N278" s="1"/>
      <c r="O278" s="1"/>
      <c r="P278" s="1"/>
    </row>
    <row r="279" spans="1:16" x14ac:dyDescent="0.2">
      <c r="A279" s="1"/>
      <c r="B279" s="1"/>
      <c r="C279" s="1"/>
      <c r="D279" s="1"/>
      <c r="E279" s="1"/>
      <c r="F279" s="1"/>
      <c r="G279" s="1"/>
      <c r="H279" s="1"/>
      <c r="I279" s="1"/>
      <c r="J279" s="1"/>
      <c r="K279" s="1"/>
      <c r="L279" s="1"/>
      <c r="M279" s="1"/>
      <c r="N279" s="1"/>
      <c r="O279" s="1"/>
      <c r="P279" s="1"/>
    </row>
    <row r="280" spans="1:16" x14ac:dyDescent="0.2">
      <c r="A280" s="1"/>
      <c r="B280" s="1"/>
      <c r="C280" s="1"/>
      <c r="D280" s="1"/>
      <c r="E280" s="1"/>
      <c r="F280" s="1"/>
      <c r="G280" s="1"/>
      <c r="H280" s="1"/>
      <c r="I280" s="1"/>
      <c r="J280" s="1"/>
      <c r="K280" s="1"/>
      <c r="L280" s="1"/>
      <c r="M280" s="1"/>
      <c r="N280" s="1"/>
      <c r="O280" s="1"/>
      <c r="P280" s="1"/>
    </row>
    <row r="281" spans="1:16" x14ac:dyDescent="0.2">
      <c r="A281" s="1"/>
      <c r="B281" s="1"/>
      <c r="C281" s="1"/>
      <c r="D281" s="1"/>
      <c r="E281" s="1"/>
      <c r="F281" s="1"/>
      <c r="G281" s="1"/>
      <c r="H281" s="1"/>
      <c r="I281" s="1"/>
      <c r="J281" s="1"/>
      <c r="K281" s="1"/>
      <c r="L281" s="1"/>
      <c r="M281" s="1"/>
      <c r="N281" s="1"/>
      <c r="O281" s="1"/>
      <c r="P281" s="1"/>
    </row>
    <row r="282" spans="1:16" x14ac:dyDescent="0.2">
      <c r="A282" s="1"/>
      <c r="B282" s="1"/>
      <c r="C282" s="1"/>
      <c r="D282" s="1"/>
      <c r="E282" s="1"/>
      <c r="F282" s="1"/>
      <c r="G282" s="1"/>
      <c r="H282" s="1"/>
      <c r="I282" s="1"/>
      <c r="J282" s="1"/>
      <c r="K282" s="1"/>
      <c r="L282" s="1"/>
      <c r="M282" s="1"/>
      <c r="N282" s="1"/>
      <c r="O282" s="1"/>
      <c r="P282" s="1"/>
    </row>
    <row r="283" spans="1:16" x14ac:dyDescent="0.2">
      <c r="A283" s="1"/>
      <c r="B283" s="1"/>
      <c r="C283" s="1"/>
      <c r="D283" s="1"/>
      <c r="E283" s="1"/>
      <c r="F283" s="1"/>
      <c r="G283" s="1"/>
      <c r="H283" s="1"/>
      <c r="I283" s="1"/>
      <c r="J283" s="1"/>
      <c r="K283" s="1"/>
      <c r="L283" s="1"/>
      <c r="M283" s="1"/>
      <c r="N283" s="1"/>
      <c r="O283" s="1"/>
      <c r="P283" s="1"/>
    </row>
    <row r="284" spans="1:16" x14ac:dyDescent="0.2">
      <c r="A284" s="1"/>
      <c r="B284" s="1"/>
      <c r="C284" s="1"/>
      <c r="D284" s="1"/>
      <c r="E284" s="1"/>
      <c r="F284" s="1"/>
      <c r="G284" s="1"/>
      <c r="H284" s="1"/>
      <c r="I284" s="1"/>
      <c r="J284" s="1"/>
      <c r="K284" s="1"/>
      <c r="L284" s="1"/>
      <c r="M284" s="1"/>
      <c r="N284" s="1"/>
      <c r="O284" s="1"/>
      <c r="P284" s="1"/>
    </row>
    <row r="285" spans="1:16" x14ac:dyDescent="0.2">
      <c r="A285" s="1"/>
      <c r="B285" s="1"/>
      <c r="C285" s="1"/>
      <c r="D285" s="1"/>
      <c r="E285" s="1"/>
      <c r="F285" s="1"/>
      <c r="G285" s="1"/>
      <c r="H285" s="1"/>
      <c r="I285" s="1"/>
      <c r="J285" s="1"/>
      <c r="K285" s="1"/>
      <c r="L285" s="1"/>
      <c r="M285" s="1"/>
      <c r="N285" s="1"/>
      <c r="O285" s="1"/>
      <c r="P285" s="1"/>
    </row>
    <row r="286" spans="1:16" x14ac:dyDescent="0.2">
      <c r="A286" s="1"/>
      <c r="B286" s="1"/>
      <c r="C286" s="1"/>
      <c r="D286" s="1"/>
      <c r="E286" s="1"/>
      <c r="F286" s="1"/>
      <c r="G286" s="1"/>
      <c r="H286" s="1"/>
      <c r="I286" s="1"/>
      <c r="J286" s="1"/>
      <c r="K286" s="1"/>
      <c r="L286" s="1"/>
      <c r="M286" s="1"/>
      <c r="N286" s="1"/>
      <c r="O286" s="1"/>
      <c r="P286" s="1"/>
    </row>
    <row r="287" spans="1:16" x14ac:dyDescent="0.2">
      <c r="A287" s="1"/>
      <c r="B287" s="1"/>
      <c r="C287" s="1"/>
      <c r="D287" s="1"/>
      <c r="E287" s="1"/>
      <c r="F287" s="1"/>
      <c r="G287" s="1"/>
      <c r="H287" s="1"/>
      <c r="I287" s="1"/>
      <c r="J287" s="1"/>
      <c r="K287" s="1"/>
      <c r="L287" s="1"/>
      <c r="M287" s="1"/>
      <c r="N287" s="1"/>
      <c r="O287" s="1"/>
      <c r="P287" s="1"/>
    </row>
    <row r="288" spans="1:16" x14ac:dyDescent="0.2">
      <c r="A288" s="1"/>
      <c r="B288" s="1"/>
      <c r="C288" s="1"/>
      <c r="D288" s="1"/>
      <c r="E288" s="1"/>
      <c r="F288" s="1"/>
      <c r="G288" s="1"/>
      <c r="H288" s="1"/>
      <c r="I288" s="1"/>
      <c r="J288" s="1"/>
      <c r="K288" s="1"/>
      <c r="L288" s="1"/>
      <c r="M288" s="1"/>
      <c r="N288" s="1"/>
      <c r="O288" s="1"/>
      <c r="P288" s="1"/>
    </row>
    <row r="289" spans="1:16" x14ac:dyDescent="0.2">
      <c r="A289" s="1"/>
      <c r="B289" s="1"/>
      <c r="C289" s="1"/>
      <c r="D289" s="1"/>
      <c r="E289" s="1"/>
      <c r="F289" s="1"/>
      <c r="G289" s="1"/>
      <c r="H289" s="1"/>
      <c r="I289" s="1"/>
      <c r="J289" s="1"/>
      <c r="K289" s="1"/>
      <c r="L289" s="1"/>
      <c r="M289" s="1"/>
      <c r="N289" s="1"/>
      <c r="O289" s="1"/>
      <c r="P289" s="1"/>
    </row>
    <row r="290" spans="1:16" x14ac:dyDescent="0.2">
      <c r="A290" s="1"/>
      <c r="B290" s="1"/>
      <c r="C290" s="1"/>
      <c r="D290" s="1"/>
      <c r="E290" s="1"/>
      <c r="F290" s="1"/>
      <c r="G290" s="1"/>
      <c r="H290" s="1"/>
      <c r="I290" s="1"/>
      <c r="J290" s="1"/>
      <c r="K290" s="1"/>
      <c r="L290" s="1"/>
      <c r="M290" s="1"/>
      <c r="N290" s="1"/>
      <c r="O290" s="1"/>
      <c r="P290" s="1"/>
    </row>
    <row r="291" spans="1:16" x14ac:dyDescent="0.2">
      <c r="A291" s="1"/>
      <c r="B291" s="1"/>
      <c r="C291" s="1"/>
      <c r="D291" s="1"/>
      <c r="E291" s="1"/>
      <c r="F291" s="1"/>
      <c r="G291" s="1"/>
      <c r="H291" s="1"/>
      <c r="I291" s="1"/>
      <c r="J291" s="1"/>
      <c r="K291" s="1"/>
      <c r="L291" s="1"/>
      <c r="M291" s="1"/>
      <c r="N291" s="1"/>
      <c r="O291" s="1"/>
      <c r="P291" s="1"/>
    </row>
    <row r="292" spans="1:16" x14ac:dyDescent="0.2">
      <c r="A292" s="1"/>
      <c r="B292" s="1"/>
      <c r="C292" s="1"/>
      <c r="D292" s="1"/>
      <c r="E292" s="1"/>
      <c r="F292" s="1"/>
      <c r="G292" s="1"/>
      <c r="H292" s="1"/>
      <c r="I292" s="1"/>
      <c r="J292" s="1"/>
      <c r="K292" s="1"/>
      <c r="L292" s="1"/>
      <c r="M292" s="1"/>
      <c r="N292" s="1"/>
      <c r="O292" s="1"/>
      <c r="P292" s="1"/>
    </row>
    <row r="293" spans="1:16" x14ac:dyDescent="0.2">
      <c r="A293" s="1"/>
      <c r="B293" s="1"/>
      <c r="C293" s="1"/>
      <c r="D293" s="1"/>
      <c r="E293" s="1"/>
      <c r="F293" s="1"/>
      <c r="G293" s="1"/>
      <c r="H293" s="1"/>
      <c r="I293" s="1"/>
      <c r="J293" s="1"/>
      <c r="K293" s="1"/>
      <c r="L293" s="1"/>
      <c r="M293" s="1"/>
      <c r="N293" s="1"/>
      <c r="O293" s="1"/>
      <c r="P293" s="1"/>
    </row>
    <row r="294" spans="1:16" x14ac:dyDescent="0.2">
      <c r="A294" s="1"/>
      <c r="B294" s="1"/>
      <c r="C294" s="1"/>
      <c r="D294" s="1"/>
      <c r="E294" s="1"/>
      <c r="F294" s="1"/>
      <c r="G294" s="1"/>
      <c r="H294" s="1"/>
      <c r="I294" s="1"/>
      <c r="J294" s="1"/>
      <c r="K294" s="1"/>
      <c r="L294" s="1"/>
      <c r="M294" s="1"/>
      <c r="N294" s="1"/>
      <c r="O294" s="1"/>
      <c r="P294" s="1"/>
    </row>
    <row r="295" spans="1:16" x14ac:dyDescent="0.2">
      <c r="A295" s="1"/>
      <c r="B295" s="1"/>
      <c r="C295" s="1"/>
      <c r="D295" s="1"/>
      <c r="E295" s="1"/>
      <c r="F295" s="1"/>
      <c r="G295" s="1"/>
      <c r="H295" s="1"/>
      <c r="I295" s="1"/>
      <c r="J295" s="1"/>
      <c r="K295" s="1"/>
      <c r="L295" s="1"/>
      <c r="M295" s="1"/>
      <c r="N295" s="1"/>
      <c r="O295" s="1"/>
      <c r="P295" s="1"/>
    </row>
    <row r="296" spans="1:16" x14ac:dyDescent="0.2">
      <c r="A296" s="1"/>
      <c r="B296" s="1"/>
      <c r="C296" s="1"/>
      <c r="D296" s="1"/>
      <c r="E296" s="1"/>
      <c r="F296" s="1"/>
      <c r="G296" s="1"/>
      <c r="H296" s="1"/>
      <c r="I296" s="1"/>
      <c r="J296" s="1"/>
      <c r="K296" s="1"/>
      <c r="L296" s="1"/>
      <c r="M296" s="1"/>
      <c r="N296" s="1"/>
      <c r="O296" s="1"/>
      <c r="P296" s="1"/>
    </row>
    <row r="297" spans="1:16" x14ac:dyDescent="0.2">
      <c r="A297" s="1"/>
      <c r="B297" s="1"/>
      <c r="C297" s="1"/>
      <c r="D297" s="1"/>
      <c r="E297" s="1"/>
      <c r="F297" s="1"/>
      <c r="G297" s="1"/>
      <c r="H297" s="1"/>
      <c r="I297" s="1"/>
      <c r="J297" s="1"/>
      <c r="K297" s="1"/>
      <c r="L297" s="1"/>
      <c r="M297" s="1"/>
      <c r="N297" s="1"/>
      <c r="O297" s="1"/>
      <c r="P297" s="1"/>
    </row>
    <row r="298" spans="1:16" x14ac:dyDescent="0.2">
      <c r="A298" s="1"/>
      <c r="B298" s="1"/>
      <c r="C298" s="1"/>
      <c r="D298" s="1"/>
      <c r="E298" s="1"/>
      <c r="F298" s="1"/>
      <c r="G298" s="1"/>
      <c r="H298" s="1"/>
      <c r="I298" s="1"/>
      <c r="J298" s="1"/>
      <c r="K298" s="1"/>
      <c r="L298" s="1"/>
      <c r="M298" s="1"/>
      <c r="N298" s="1"/>
      <c r="O298" s="1"/>
      <c r="P298" s="1"/>
    </row>
    <row r="299" spans="1:16" x14ac:dyDescent="0.2">
      <c r="A299" s="1"/>
      <c r="B299" s="1"/>
      <c r="C299" s="1"/>
      <c r="D299" s="1"/>
      <c r="E299" s="1"/>
      <c r="F299" s="1"/>
      <c r="G299" s="1"/>
      <c r="H299" s="1"/>
      <c r="I299" s="1"/>
      <c r="J299" s="1"/>
      <c r="K299" s="1"/>
      <c r="L299" s="1"/>
      <c r="M299" s="1"/>
      <c r="N299" s="1"/>
      <c r="O299" s="1"/>
      <c r="P299" s="1"/>
    </row>
    <row r="300" spans="1:16" x14ac:dyDescent="0.2">
      <c r="A300" s="1"/>
      <c r="B300" s="1"/>
      <c r="C300" s="1"/>
      <c r="D300" s="1"/>
      <c r="E300" s="1"/>
      <c r="F300" s="1"/>
      <c r="G300" s="1"/>
      <c r="H300" s="1"/>
      <c r="I300" s="1"/>
      <c r="J300" s="1"/>
      <c r="K300" s="1"/>
      <c r="L300" s="1"/>
      <c r="M300" s="1"/>
      <c r="N300" s="1"/>
      <c r="O300" s="1"/>
      <c r="P300" s="1"/>
    </row>
    <row r="301" spans="1:16" x14ac:dyDescent="0.2">
      <c r="A301" s="1"/>
      <c r="B301" s="1"/>
      <c r="C301" s="1"/>
      <c r="D301" s="1"/>
      <c r="E301" s="1"/>
      <c r="F301" s="1"/>
      <c r="G301" s="1"/>
      <c r="H301" s="1"/>
      <c r="I301" s="1"/>
      <c r="J301" s="1"/>
      <c r="K301" s="1"/>
      <c r="L301" s="1"/>
      <c r="M301" s="1"/>
      <c r="N301" s="1"/>
      <c r="O301" s="1"/>
      <c r="P301" s="1"/>
    </row>
    <row r="302" spans="1:16" x14ac:dyDescent="0.2">
      <c r="A302" s="1"/>
      <c r="B302" s="1"/>
      <c r="C302" s="1"/>
      <c r="D302" s="1"/>
      <c r="E302" s="1"/>
      <c r="F302" s="1"/>
      <c r="G302" s="1"/>
      <c r="H302" s="1"/>
      <c r="I302" s="1"/>
      <c r="J302" s="1"/>
      <c r="K302" s="1"/>
      <c r="L302" s="1"/>
      <c r="M302" s="1"/>
      <c r="N302" s="1"/>
      <c r="O302" s="1"/>
      <c r="P302" s="1"/>
    </row>
    <row r="303" spans="1:16" x14ac:dyDescent="0.2">
      <c r="A303" s="1"/>
      <c r="B303" s="1"/>
      <c r="C303" s="1"/>
      <c r="D303" s="1"/>
      <c r="E303" s="1"/>
      <c r="F303" s="1"/>
      <c r="G303" s="1"/>
      <c r="H303" s="1"/>
      <c r="I303" s="1"/>
      <c r="J303" s="1"/>
      <c r="K303" s="1"/>
      <c r="L303" s="1"/>
      <c r="M303" s="1"/>
      <c r="N303" s="1"/>
      <c r="O303" s="1"/>
      <c r="P303" s="1"/>
    </row>
    <row r="304" spans="1:16" x14ac:dyDescent="0.2">
      <c r="A304" s="1"/>
      <c r="B304" s="1"/>
      <c r="C304" s="1"/>
      <c r="D304" s="1"/>
      <c r="E304" s="1"/>
      <c r="F304" s="1"/>
      <c r="G304" s="1"/>
      <c r="H304" s="1"/>
      <c r="I304" s="1"/>
      <c r="J304" s="1"/>
      <c r="K304" s="1"/>
      <c r="L304" s="1"/>
      <c r="M304" s="1"/>
      <c r="N304" s="1"/>
      <c r="O304" s="1"/>
      <c r="P304" s="1"/>
    </row>
    <row r="305" spans="1:16" x14ac:dyDescent="0.2">
      <c r="A305" s="1"/>
      <c r="B305" s="1"/>
      <c r="C305" s="1"/>
      <c r="D305" s="1"/>
      <c r="E305" s="1"/>
      <c r="F305" s="1"/>
      <c r="G305" s="1"/>
      <c r="H305" s="1"/>
      <c r="I305" s="1"/>
      <c r="J305" s="1"/>
      <c r="K305" s="1"/>
      <c r="L305" s="1"/>
      <c r="M305" s="1"/>
      <c r="N305" s="1"/>
      <c r="O305" s="1"/>
      <c r="P305" s="1"/>
    </row>
    <row r="306" spans="1:16" x14ac:dyDescent="0.2">
      <c r="A306" s="1"/>
      <c r="B306" s="1"/>
      <c r="C306" s="1"/>
      <c r="D306" s="1"/>
      <c r="E306" s="1"/>
      <c r="F306" s="1"/>
      <c r="G306" s="1"/>
      <c r="H306" s="1"/>
      <c r="I306" s="1"/>
      <c r="J306" s="1"/>
      <c r="K306" s="1"/>
      <c r="L306" s="1"/>
      <c r="M306" s="1"/>
      <c r="N306" s="1"/>
      <c r="O306" s="1"/>
      <c r="P306" s="1"/>
    </row>
    <row r="307" spans="1:16" x14ac:dyDescent="0.2">
      <c r="A307" s="1"/>
      <c r="B307" s="1"/>
      <c r="C307" s="1"/>
      <c r="D307" s="1"/>
      <c r="E307" s="1"/>
      <c r="F307" s="1"/>
      <c r="G307" s="1"/>
      <c r="H307" s="1"/>
      <c r="I307" s="1"/>
      <c r="J307" s="1"/>
      <c r="K307" s="1"/>
      <c r="L307" s="1"/>
      <c r="M307" s="1"/>
      <c r="N307" s="1"/>
      <c r="O307" s="1"/>
      <c r="P307" s="1"/>
    </row>
    <row r="308" spans="1:16" x14ac:dyDescent="0.2">
      <c r="A308" s="1"/>
      <c r="B308" s="1"/>
      <c r="C308" s="1"/>
      <c r="D308" s="1"/>
      <c r="E308" s="1"/>
      <c r="F308" s="1"/>
      <c r="G308" s="1"/>
      <c r="H308" s="1"/>
      <c r="I308" s="1"/>
      <c r="J308" s="1"/>
      <c r="K308" s="1"/>
      <c r="L308" s="1"/>
      <c r="M308" s="1"/>
      <c r="N308" s="1"/>
      <c r="O308" s="1"/>
      <c r="P308" s="1"/>
    </row>
    <row r="309" spans="1:16" x14ac:dyDescent="0.2">
      <c r="A309" s="1"/>
      <c r="B309" s="1"/>
      <c r="C309" s="1"/>
      <c r="D309" s="1"/>
      <c r="E309" s="1"/>
      <c r="F309" s="1"/>
      <c r="G309" s="1"/>
      <c r="H309" s="1"/>
      <c r="I309" s="1"/>
      <c r="J309" s="1"/>
      <c r="K309" s="1"/>
      <c r="L309" s="1"/>
      <c r="M309" s="1"/>
      <c r="N309" s="1"/>
      <c r="O309" s="1"/>
      <c r="P309" s="1"/>
    </row>
    <row r="310" spans="1:16" x14ac:dyDescent="0.2">
      <c r="A310" s="1"/>
      <c r="B310" s="1"/>
      <c r="C310" s="1"/>
      <c r="D310" s="1"/>
      <c r="E310" s="1"/>
      <c r="F310" s="1"/>
      <c r="G310" s="1"/>
      <c r="H310" s="1"/>
      <c r="I310" s="1"/>
      <c r="J310" s="1"/>
      <c r="K310" s="1"/>
      <c r="L310" s="1"/>
      <c r="M310" s="1"/>
      <c r="N310" s="1"/>
      <c r="O310" s="1"/>
      <c r="P310" s="1"/>
    </row>
    <row r="311" spans="1:16" x14ac:dyDescent="0.2">
      <c r="A311" s="1"/>
      <c r="B311" s="1"/>
      <c r="C311" s="1"/>
      <c r="D311" s="1"/>
      <c r="E311" s="1"/>
      <c r="F311" s="1"/>
      <c r="G311" s="1"/>
      <c r="H311" s="1"/>
      <c r="I311" s="1"/>
      <c r="J311" s="1"/>
      <c r="K311" s="1"/>
      <c r="L311" s="1"/>
      <c r="M311" s="1"/>
      <c r="N311" s="1"/>
      <c r="O311" s="1"/>
      <c r="P311" s="1"/>
    </row>
    <row r="312" spans="1:16" x14ac:dyDescent="0.2">
      <c r="A312" s="1"/>
      <c r="B312" s="1"/>
      <c r="C312" s="1"/>
      <c r="D312" s="1"/>
      <c r="E312" s="1"/>
      <c r="F312" s="1"/>
      <c r="G312" s="1"/>
      <c r="H312" s="1"/>
      <c r="I312" s="1"/>
      <c r="J312" s="1"/>
      <c r="K312" s="1"/>
      <c r="L312" s="1"/>
      <c r="M312" s="1"/>
      <c r="N312" s="1"/>
      <c r="O312" s="1"/>
      <c r="P312" s="1"/>
    </row>
    <row r="313" spans="1:16" x14ac:dyDescent="0.2">
      <c r="A313" s="1"/>
      <c r="B313" s="1"/>
      <c r="C313" s="1"/>
      <c r="D313" s="1"/>
      <c r="E313" s="1"/>
      <c r="F313" s="1"/>
      <c r="G313" s="1"/>
      <c r="H313" s="1"/>
      <c r="I313" s="1"/>
      <c r="J313" s="1"/>
      <c r="K313" s="1"/>
      <c r="L313" s="1"/>
      <c r="M313" s="1"/>
      <c r="N313" s="1"/>
      <c r="O313" s="1"/>
      <c r="P313" s="1"/>
    </row>
    <row r="314" spans="1:16" x14ac:dyDescent="0.2">
      <c r="A314" s="1"/>
      <c r="B314" s="1"/>
      <c r="C314" s="1"/>
      <c r="D314" s="1"/>
      <c r="E314" s="1"/>
      <c r="F314" s="1"/>
      <c r="G314" s="1"/>
      <c r="H314" s="1"/>
      <c r="I314" s="1"/>
      <c r="J314" s="1"/>
      <c r="K314" s="1"/>
      <c r="L314" s="1"/>
      <c r="M314" s="1"/>
      <c r="N314" s="1"/>
      <c r="O314" s="1"/>
      <c r="P314" s="1"/>
    </row>
    <row r="315" spans="1:16" x14ac:dyDescent="0.2">
      <c r="A315" s="1"/>
      <c r="B315" s="1"/>
      <c r="C315" s="1"/>
      <c r="D315" s="1"/>
      <c r="E315" s="1"/>
      <c r="F315" s="1"/>
      <c r="G315" s="1"/>
      <c r="H315" s="1"/>
      <c r="I315" s="1"/>
      <c r="J315" s="1"/>
      <c r="K315" s="1"/>
      <c r="L315" s="1"/>
      <c r="M315" s="1"/>
      <c r="N315" s="1"/>
      <c r="O315" s="1"/>
      <c r="P315" s="1"/>
    </row>
    <row r="316" spans="1:16" x14ac:dyDescent="0.2">
      <c r="A316" s="1"/>
      <c r="B316" s="1"/>
      <c r="C316" s="1"/>
      <c r="D316" s="1"/>
      <c r="E316" s="1"/>
      <c r="F316" s="1"/>
      <c r="G316" s="1"/>
      <c r="H316" s="1"/>
      <c r="I316" s="1"/>
      <c r="J316" s="1"/>
      <c r="K316" s="1"/>
      <c r="L316" s="1"/>
      <c r="M316" s="1"/>
      <c r="N316" s="1"/>
      <c r="O316" s="1"/>
      <c r="P316" s="1"/>
    </row>
    <row r="317" spans="1:16" x14ac:dyDescent="0.2">
      <c r="A317" s="1"/>
      <c r="B317" s="1"/>
      <c r="C317" s="1"/>
      <c r="D317" s="1"/>
      <c r="E317" s="1"/>
      <c r="F317" s="1"/>
      <c r="G317" s="1"/>
      <c r="H317" s="1"/>
      <c r="I317" s="1"/>
      <c r="J317" s="1"/>
      <c r="K317" s="1"/>
      <c r="L317" s="1"/>
      <c r="M317" s="1"/>
      <c r="N317" s="1"/>
      <c r="O317" s="1"/>
      <c r="P317" s="1"/>
    </row>
    <row r="318" spans="1:16" x14ac:dyDescent="0.2">
      <c r="A318" s="1"/>
      <c r="B318" s="1"/>
      <c r="C318" s="1"/>
      <c r="D318" s="1"/>
      <c r="E318" s="1"/>
      <c r="F318" s="1"/>
      <c r="G318" s="1"/>
      <c r="H318" s="1"/>
      <c r="I318" s="1"/>
      <c r="J318" s="1"/>
      <c r="K318" s="1"/>
      <c r="L318" s="1"/>
      <c r="M318" s="1"/>
      <c r="N318" s="1"/>
      <c r="O318" s="1"/>
      <c r="P318" s="1"/>
    </row>
    <row r="319" spans="1:16" x14ac:dyDescent="0.2">
      <c r="A319" s="1"/>
      <c r="B319" s="1"/>
      <c r="C319" s="1"/>
      <c r="D319" s="1"/>
      <c r="E319" s="1"/>
      <c r="F319" s="1"/>
      <c r="G319" s="1"/>
      <c r="H319" s="1"/>
      <c r="I319" s="1"/>
      <c r="J319" s="1"/>
      <c r="K319" s="1"/>
      <c r="L319" s="1"/>
      <c r="M319" s="1"/>
      <c r="N319" s="1"/>
      <c r="O319" s="1"/>
      <c r="P319" s="1"/>
    </row>
    <row r="320" spans="1:16" x14ac:dyDescent="0.2">
      <c r="A320" s="1"/>
      <c r="B320" s="1"/>
      <c r="C320" s="1"/>
      <c r="D320" s="1"/>
      <c r="E320" s="1"/>
      <c r="F320" s="1"/>
      <c r="G320" s="1"/>
      <c r="H320" s="1"/>
      <c r="I320" s="1"/>
      <c r="J320" s="1"/>
      <c r="K320" s="1"/>
      <c r="L320" s="1"/>
      <c r="M320" s="1"/>
      <c r="N320" s="1"/>
      <c r="O320" s="1"/>
      <c r="P320" s="1"/>
    </row>
    <row r="321" spans="1:16" x14ac:dyDescent="0.2">
      <c r="A321" s="1"/>
      <c r="B321" s="1"/>
      <c r="C321" s="1"/>
      <c r="D321" s="1"/>
      <c r="E321" s="1"/>
      <c r="F321" s="1"/>
      <c r="G321" s="1"/>
      <c r="H321" s="1"/>
      <c r="I321" s="1"/>
      <c r="J321" s="1"/>
      <c r="K321" s="1"/>
      <c r="L321" s="1"/>
      <c r="M321" s="1"/>
      <c r="N321" s="1"/>
      <c r="O321" s="1"/>
      <c r="P321" s="1"/>
    </row>
    <row r="322" spans="1:16" x14ac:dyDescent="0.2">
      <c r="A322" s="1"/>
      <c r="B322" s="1"/>
      <c r="C322" s="1"/>
      <c r="D322" s="1"/>
      <c r="E322" s="1"/>
      <c r="F322" s="1"/>
      <c r="G322" s="1"/>
      <c r="H322" s="1"/>
      <c r="I322" s="1"/>
      <c r="J322" s="1"/>
      <c r="K322" s="1"/>
      <c r="L322" s="1"/>
      <c r="M322" s="1"/>
      <c r="N322" s="1"/>
      <c r="O322" s="1"/>
      <c r="P322" s="1"/>
    </row>
    <row r="323" spans="1:16" x14ac:dyDescent="0.2">
      <c r="A323" s="1"/>
      <c r="B323" s="1"/>
      <c r="C323" s="1"/>
      <c r="D323" s="1"/>
      <c r="E323" s="1"/>
      <c r="F323" s="1"/>
      <c r="G323" s="1"/>
      <c r="H323" s="1"/>
      <c r="I323" s="1"/>
      <c r="J323" s="1"/>
      <c r="K323" s="1"/>
      <c r="L323" s="1"/>
      <c r="M323" s="1"/>
      <c r="N323" s="1"/>
      <c r="O323" s="1"/>
      <c r="P323" s="1"/>
    </row>
    <row r="324" spans="1:16" x14ac:dyDescent="0.2">
      <c r="A324" s="1"/>
      <c r="B324" s="1"/>
      <c r="C324" s="1"/>
      <c r="D324" s="1"/>
      <c r="E324" s="1"/>
      <c r="F324" s="1"/>
      <c r="G324" s="1"/>
      <c r="H324" s="1"/>
      <c r="I324" s="1"/>
      <c r="J324" s="1"/>
      <c r="K324" s="1"/>
      <c r="L324" s="1"/>
      <c r="M324" s="1"/>
      <c r="N324" s="1"/>
      <c r="O324" s="1"/>
      <c r="P324" s="1"/>
    </row>
    <row r="325" spans="1:16" x14ac:dyDescent="0.2">
      <c r="A325" s="1"/>
      <c r="B325" s="1"/>
      <c r="C325" s="1"/>
      <c r="D325" s="1"/>
      <c r="E325" s="1"/>
      <c r="F325" s="1"/>
      <c r="G325" s="1"/>
      <c r="H325" s="1"/>
      <c r="I325" s="1"/>
      <c r="J325" s="1"/>
      <c r="K325" s="1"/>
      <c r="L325" s="1"/>
      <c r="M325" s="1"/>
      <c r="N325" s="1"/>
      <c r="O325" s="1"/>
      <c r="P325" s="1"/>
    </row>
    <row r="326" spans="1:16" x14ac:dyDescent="0.2">
      <c r="A326" s="1"/>
      <c r="B326" s="1"/>
      <c r="C326" s="1"/>
      <c r="D326" s="1"/>
      <c r="E326" s="1"/>
      <c r="F326" s="1"/>
      <c r="G326" s="1"/>
      <c r="H326" s="1"/>
      <c r="I326" s="1"/>
      <c r="J326" s="1"/>
      <c r="K326" s="1"/>
      <c r="L326" s="1"/>
      <c r="M326" s="1"/>
      <c r="N326" s="1"/>
      <c r="O326" s="1"/>
      <c r="P326" s="1"/>
    </row>
    <row r="327" spans="1:16" x14ac:dyDescent="0.2">
      <c r="A327" s="1"/>
      <c r="B327" s="1"/>
      <c r="C327" s="1"/>
      <c r="D327" s="1"/>
      <c r="E327" s="1"/>
      <c r="F327" s="1"/>
      <c r="G327" s="1"/>
      <c r="H327" s="1"/>
      <c r="I327" s="1"/>
      <c r="J327" s="1"/>
      <c r="K327" s="1"/>
      <c r="L327" s="1"/>
      <c r="M327" s="1"/>
      <c r="N327" s="1"/>
      <c r="O327" s="1"/>
      <c r="P327" s="1"/>
    </row>
    <row r="328" spans="1:16" x14ac:dyDescent="0.2">
      <c r="A328" s="1"/>
      <c r="B328" s="1"/>
      <c r="C328" s="1"/>
      <c r="D328" s="1"/>
      <c r="E328" s="1"/>
      <c r="F328" s="1"/>
      <c r="G328" s="1"/>
      <c r="H328" s="1"/>
      <c r="I328" s="1"/>
      <c r="J328" s="1"/>
      <c r="K328" s="1"/>
      <c r="L328" s="1"/>
      <c r="M328" s="1"/>
      <c r="N328" s="1"/>
      <c r="O328" s="1"/>
      <c r="P328" s="1"/>
    </row>
    <row r="329" spans="1:16" x14ac:dyDescent="0.2">
      <c r="A329" s="1"/>
      <c r="B329" s="1"/>
      <c r="C329" s="1"/>
      <c r="D329" s="1"/>
      <c r="E329" s="1"/>
      <c r="F329" s="1"/>
      <c r="G329" s="1"/>
      <c r="H329" s="1"/>
      <c r="I329" s="1"/>
      <c r="J329" s="1"/>
      <c r="K329" s="1"/>
      <c r="L329" s="1"/>
      <c r="M329" s="1"/>
      <c r="N329" s="1"/>
      <c r="O329" s="1"/>
      <c r="P329" s="1"/>
    </row>
    <row r="330" spans="1:16" x14ac:dyDescent="0.2">
      <c r="A330" s="1"/>
      <c r="B330" s="1"/>
      <c r="C330" s="1"/>
      <c r="D330" s="1"/>
      <c r="E330" s="1"/>
      <c r="F330" s="1"/>
      <c r="G330" s="1"/>
      <c r="H330" s="1"/>
      <c r="I330" s="1"/>
      <c r="J330" s="1"/>
      <c r="K330" s="1"/>
      <c r="L330" s="1"/>
      <c r="M330" s="1"/>
      <c r="N330" s="1"/>
      <c r="O330" s="1"/>
      <c r="P330" s="1"/>
    </row>
    <row r="331" spans="1:16" x14ac:dyDescent="0.2">
      <c r="A331" s="1"/>
      <c r="B331" s="1"/>
      <c r="C331" s="1"/>
      <c r="D331" s="1"/>
      <c r="E331" s="1"/>
      <c r="F331" s="1"/>
      <c r="G331" s="1"/>
      <c r="H331" s="1"/>
      <c r="I331" s="1"/>
      <c r="J331" s="1"/>
      <c r="K331" s="1"/>
      <c r="L331" s="1"/>
      <c r="M331" s="1"/>
      <c r="N331" s="1"/>
      <c r="O331" s="1"/>
      <c r="P331" s="1"/>
    </row>
    <row r="332" spans="1:16" x14ac:dyDescent="0.2">
      <c r="A332" s="1"/>
      <c r="B332" s="1"/>
      <c r="C332" s="1"/>
      <c r="D332" s="1"/>
      <c r="E332" s="1"/>
      <c r="F332" s="1"/>
      <c r="G332" s="1"/>
      <c r="H332" s="1"/>
      <c r="I332" s="1"/>
      <c r="J332" s="1"/>
      <c r="K332" s="1"/>
      <c r="L332" s="1"/>
      <c r="M332" s="1"/>
      <c r="N332" s="1"/>
      <c r="O332" s="1"/>
      <c r="P332" s="1"/>
    </row>
    <row r="333" spans="1:16" x14ac:dyDescent="0.2">
      <c r="A333" s="1"/>
      <c r="B333" s="1"/>
      <c r="C333" s="1"/>
      <c r="D333" s="1"/>
      <c r="E333" s="1"/>
      <c r="F333" s="1"/>
      <c r="G333" s="1"/>
      <c r="H333" s="1"/>
      <c r="I333" s="1"/>
      <c r="J333" s="1"/>
      <c r="K333" s="1"/>
      <c r="L333" s="1"/>
      <c r="M333" s="1"/>
      <c r="N333" s="1"/>
      <c r="O333" s="1"/>
      <c r="P333" s="1"/>
    </row>
    <row r="334" spans="1:16" x14ac:dyDescent="0.2">
      <c r="A334" s="1"/>
      <c r="B334" s="1"/>
      <c r="C334" s="1"/>
      <c r="D334" s="1"/>
      <c r="E334" s="1"/>
      <c r="F334" s="1"/>
      <c r="G334" s="1"/>
      <c r="H334" s="1"/>
      <c r="I334" s="1"/>
      <c r="J334" s="1"/>
      <c r="K334" s="1"/>
      <c r="L334" s="1"/>
      <c r="M334" s="1"/>
      <c r="N334" s="1"/>
      <c r="O334" s="1"/>
      <c r="P334" s="1"/>
    </row>
    <row r="335" spans="1:16" x14ac:dyDescent="0.2">
      <c r="A335" s="1"/>
      <c r="B335" s="1"/>
      <c r="C335" s="1"/>
      <c r="D335" s="1"/>
      <c r="E335" s="1"/>
      <c r="F335" s="1"/>
      <c r="G335" s="1"/>
      <c r="H335" s="1"/>
      <c r="I335" s="1"/>
      <c r="J335" s="1"/>
      <c r="K335" s="1"/>
      <c r="L335" s="1"/>
      <c r="M335" s="1"/>
      <c r="N335" s="1"/>
      <c r="O335" s="1"/>
      <c r="P335" s="1"/>
    </row>
    <row r="336" spans="1:16" x14ac:dyDescent="0.2">
      <c r="A336" s="1"/>
      <c r="B336" s="1"/>
      <c r="C336" s="1"/>
      <c r="D336" s="1"/>
      <c r="E336" s="1"/>
      <c r="F336" s="1"/>
      <c r="G336" s="1"/>
      <c r="H336" s="1"/>
      <c r="I336" s="1"/>
      <c r="J336" s="1"/>
      <c r="K336" s="1"/>
      <c r="L336" s="1"/>
      <c r="M336" s="1"/>
      <c r="N336" s="1"/>
      <c r="O336" s="1"/>
      <c r="P336" s="1"/>
    </row>
    <row r="337" spans="1:16" x14ac:dyDescent="0.2">
      <c r="A337" s="1"/>
      <c r="B337" s="1"/>
      <c r="C337" s="1"/>
      <c r="D337" s="1"/>
      <c r="E337" s="1"/>
      <c r="F337" s="1"/>
      <c r="G337" s="1"/>
      <c r="H337" s="1"/>
      <c r="I337" s="1"/>
      <c r="J337" s="1"/>
      <c r="K337" s="1"/>
      <c r="L337" s="1"/>
      <c r="M337" s="1"/>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sheetData>
  <autoFilter ref="B5:P5"/>
  <mergeCells count="2">
    <mergeCell ref="B2:P4"/>
    <mergeCell ref="B1:P1"/>
  </mergeCells>
  <pageMargins left="0.39370078740157483" right="0.39370078740157483" top="0.39370078740157483" bottom="0.39370078740157483" header="0.19685039370078741" footer="0.51181102362204722"/>
  <pageSetup paperSize="9" scale="51" firstPageNumber="132" fitToHeight="0" orientation="portrait" useFirstPageNumber="1"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сентябрь</vt:lpstr>
      <vt:lpstr>сентябрь!Заголовки_для_печати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Фатхиева</dc:creator>
  <cp:lastModifiedBy>Сергей Медведев</cp:lastModifiedBy>
  <cp:lastPrinted>2021-09-16T07:12:17Z</cp:lastPrinted>
  <dcterms:created xsi:type="dcterms:W3CDTF">2021-05-26T09:31:54Z</dcterms:created>
  <dcterms:modified xsi:type="dcterms:W3CDTF">2021-09-16T07:12:23Z</dcterms:modified>
</cp:coreProperties>
</file>