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2. Февраль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общий!$C$1:$Q$40</definedName>
  </definedNames>
  <calcPr calcId="152511"/>
</workbook>
</file>

<file path=xl/calcChain.xml><?xml version="1.0" encoding="utf-8"?>
<calcChain xmlns="http://schemas.openxmlformats.org/spreadsheetml/2006/main">
  <c r="G40" i="1" l="1"/>
  <c r="K20" i="1"/>
  <c r="J40" i="1"/>
  <c r="J28" i="1"/>
  <c r="J25" i="1"/>
  <c r="J26" i="1"/>
  <c r="J21" i="1"/>
  <c r="K15" i="1"/>
  <c r="J13" i="1"/>
  <c r="K40" i="1" l="1"/>
  <c r="K34" i="1"/>
  <c r="K24" i="1"/>
  <c r="G20" i="1"/>
  <c r="K18" i="1"/>
  <c r="K14" i="1"/>
  <c r="H34" i="1"/>
  <c r="H32" i="1"/>
  <c r="H31" i="1"/>
  <c r="H28" i="1"/>
  <c r="G15" i="1"/>
  <c r="K30" i="1" l="1"/>
  <c r="J35" i="1"/>
  <c r="J34" i="1"/>
  <c r="J33" i="1"/>
  <c r="J30" i="1"/>
  <c r="J29" i="1"/>
  <c r="J20" i="1"/>
  <c r="H24" i="1"/>
  <c r="H17" i="1"/>
  <c r="H15" i="1"/>
  <c r="G35" i="1"/>
  <c r="G28" i="1"/>
  <c r="G27" i="1"/>
  <c r="G25" i="1"/>
  <c r="G13" i="1"/>
  <c r="J14" i="1" l="1"/>
  <c r="J22" i="1" l="1"/>
  <c r="J15" i="1"/>
  <c r="J16" i="1"/>
  <c r="G34" i="1"/>
  <c r="G24" i="1"/>
  <c r="G22" i="1"/>
  <c r="F24" i="1"/>
  <c r="K28" i="1" l="1"/>
  <c r="K12" i="1"/>
  <c r="J31" i="1"/>
  <c r="J8" i="1"/>
  <c r="G26" i="1"/>
  <c r="H18" i="1" l="1"/>
  <c r="J32" i="1" l="1"/>
  <c r="K33" i="1"/>
  <c r="K31" i="1"/>
  <c r="K27" i="1"/>
  <c r="K21" i="1"/>
  <c r="H30" i="1" l="1"/>
  <c r="G17" i="1"/>
  <c r="H13" i="1"/>
  <c r="H26" i="1" l="1"/>
  <c r="G18" i="1" l="1"/>
  <c r="J18" i="1" l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J19" i="1"/>
  <c r="J17" i="1"/>
  <c r="F15" i="1"/>
  <c r="G16" i="1"/>
  <c r="G30" i="1"/>
  <c r="G31" i="1"/>
  <c r="G32" i="1"/>
  <c r="K19" i="1"/>
  <c r="K17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<sst xmlns="http://schemas.openxmlformats.org/spreadsheetml/2006/main" count="81" uniqueCount="53">
  <si>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</si>
  <si>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</si>
  <si>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</si>
  <si>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</si>
  <si>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</si>
  <si>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</si>
  <si>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</si>
  <si>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</si>
  <si>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</si>
  <si>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</si>
  <si>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</si>
  <si>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</si>
  <si>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</si>
  <si>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</si>
  <si>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</si>
  <si>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</si>
  <si>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</si>
  <si>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</si>
  <si>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</si>
  <si>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</si>
  <si>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</si>
  <si>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</si>
  <si>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</si>
  <si>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</si>
  <si>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</si>
  <si>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</si>
  <si>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</si>
  <si>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</si>
  <si>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</si>
  <si>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</si>
  <si>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</si>
  <si>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</si>
  <si>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</si>
  <si>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</si>
  <si>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</si>
  <si>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</si>
  <si>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</si>
  <si>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</si>
  <si>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</si>
  <si>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</si>
  <si>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</si>
  <si>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</si>
  <si>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</si>
  <si>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</si>
  <si>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</si>
  <si>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</si>
  <si>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</si>
  <si>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</si>
  <si>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</si>
  <si>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</si>
  <si>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</si>
  <si>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Информация об изменении цен на социально-значимые товары, 
реализуемые на территории г. Пыть-Ях
по состоянию на 09.02.2024 г.</t>
  </si>
  <si>
    <t>Ср. цены на 02.02.2023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</si>
</sst>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4" fontId="5" fillId="2" borderId="7" xfId="0" applyNumberFormat="1" applyFont="1" applyFill="1" applyBorder="1" applyAlignment="1">
      <alignment horizontal="left" vertical="center"/>
    </xf>
    <xf numFmtId="2" fontId="16" fillId="2" borderId="7" xfId="0" applyNumberFormat="1" applyFont="1" applyFill="1" applyBorder="1" applyAlignment="1" applyProtection="1">
      <alignment horizontal="center" vertical="center"/>
      <protection locked="0"/>
    </xf>
    <xf numFmtId="4" fontId="16" fillId="2" borderId="7" xfId="0" applyNumberFormat="1" applyFont="1" applyFill="1" applyBorder="1" applyAlignment="1">
      <alignment horizontal="center" vertical="center"/>
    </xf>
    <xf numFmtId="164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16" fillId="2" borderId="0" xfId="0" applyFont="1" applyFill="1" applyBorder="1" applyAlignment="1">
      <alignment horizontal="center" vertical="center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4" fontId="16" fillId="2" borderId="23" xfId="1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16" fillId="2" borderId="23" xfId="0" applyNumberFormat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26" xfId="0" applyNumberFormat="1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3" fontId="6" fillId="2" borderId="7" xfId="0" applyNumberFormat="1" applyFont="1" applyFill="1" applyBorder="1" applyAlignment="1" applyProtection="1">
      <alignment horizontal="center" vertical="center" wrapText="1"/>
      <protection locked="0"/>
    </xf>
    <xf numFmtId="2" fontId="16" fillId="2" borderId="7" xfId="0" applyNumberFormat="1" applyFont="1" applyFill="1" applyBorder="1" applyAlignment="1">
      <alignment horizontal="center" vertical="center"/>
    </xf>
    <xf numFmtId="4" fontId="16" fillId="2" borderId="7" xfId="1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2" fontId="16" fillId="2" borderId="20" xfId="0" applyNumberFormat="1" applyFont="1" applyFill="1" applyBorder="1" applyAlignment="1" applyProtection="1">
      <alignment horizontal="center" vertical="center"/>
    </xf>
    <xf numFmtId="2" fontId="16" fillId="2" borderId="25" xfId="0" applyNumberFormat="1" applyFont="1" applyFill="1" applyBorder="1" applyAlignment="1">
      <alignment horizontal="center" vertical="center"/>
    </xf>
    <xf numFmtId="164" fontId="16" fillId="2" borderId="25" xfId="0" applyNumberFormat="1" applyFont="1" applyFill="1" applyBorder="1" applyAlignment="1" applyProtection="1">
      <alignment horizontal="center" vertical="center"/>
      <protection locked="0"/>
    </xf>
    <xf numFmtId="2" fontId="16" fillId="2" borderId="25" xfId="0" applyNumberFormat="1" applyFont="1" applyFill="1" applyBorder="1" applyAlignment="1" applyProtection="1">
      <alignment horizontal="center" vertical="center"/>
      <protection locked="0"/>
    </xf>
    <xf numFmtId="3" fontId="6" fillId="2" borderId="25" xfId="0" applyNumberFormat="1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M4" sqref="M4:M7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5" width="8.85546875" style="1"/>
    <col min="6" max="6" width="10.7109375" style="34" customWidth="1"/>
    <col min="7" max="7" width="12.140625" style="1" customWidth="1"/>
    <col min="8" max="8" width="12.140625" style="35" customWidth="1"/>
    <col min="9" max="9" width="13.140625" style="35" customWidth="1"/>
    <col min="10" max="10" width="11.5703125" style="47" customWidth="1"/>
    <col min="11" max="11" width="12.28515625" style="35" customWidth="1"/>
    <col min="12" max="12" width="10" style="1" customWidth="1"/>
    <col min="13" max="13" width="11.140625" style="1" customWidth="1"/>
    <col min="14" max="16384" width="8.85546875" style="1"/>
  </cols>
  <sheetData>
    <row r="1" spans="1:15" ht="47.25" customHeight="1" x14ac:dyDescent="0.2">
      <c r="B1" s="74" t="s">
        <v>51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1:15" ht="12.75" customHeight="1" x14ac:dyDescent="0.2"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4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71" t="s">
        <v>38</v>
      </c>
      <c r="G4" s="71" t="s">
        <v>39</v>
      </c>
      <c r="H4" s="77" t="s">
        <v>40</v>
      </c>
      <c r="I4" s="77" t="s">
        <v>41</v>
      </c>
      <c r="J4" s="77" t="s">
        <v>42</v>
      </c>
      <c r="K4" s="77" t="s">
        <v>43</v>
      </c>
      <c r="L4" s="71" t="s">
        <v>44</v>
      </c>
      <c r="M4" s="75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72"/>
      <c r="G5" s="72"/>
      <c r="H5" s="78"/>
      <c r="I5" s="78"/>
      <c r="J5" s="78"/>
      <c r="K5" s="78"/>
      <c r="L5" s="72"/>
      <c r="M5" s="76"/>
    </row>
    <row r="6" spans="1:15" ht="18.75" x14ac:dyDescent="0.2">
      <c r="A6" s="2"/>
      <c r="B6" s="27"/>
      <c r="C6" s="20" t="s">
        <v>49</v>
      </c>
      <c r="D6" s="11"/>
      <c r="E6" s="12"/>
      <c r="F6" s="72"/>
      <c r="G6" s="72"/>
      <c r="H6" s="78"/>
      <c r="I6" s="78"/>
      <c r="J6" s="78"/>
      <c r="K6" s="78"/>
      <c r="L6" s="72"/>
      <c r="M6" s="76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73"/>
      <c r="G7" s="73"/>
      <c r="H7" s="79"/>
      <c r="I7" s="79"/>
      <c r="J7" s="79"/>
      <c r="K7" s="79"/>
      <c r="L7" s="73"/>
      <c r="M7" s="76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2"/>
      <c r="G8" s="42"/>
      <c r="H8" s="54"/>
      <c r="I8" s="52">
        <v>295</v>
      </c>
      <c r="J8" s="53">
        <f>(219.99+399.99)/2</f>
        <v>309.99</v>
      </c>
      <c r="K8" s="53"/>
      <c r="L8" s="41">
        <f>(E8/M8)*100-100</f>
        <v>0</v>
      </c>
      <c r="M8" s="60">
        <v>302.40213292898579</v>
      </c>
      <c r="N8" s="51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42"/>
      <c r="G9" s="42"/>
      <c r="H9" s="54"/>
      <c r="I9" s="52">
        <v>495</v>
      </c>
      <c r="J9" s="53"/>
      <c r="K9" s="53"/>
      <c r="L9" s="41">
        <f t="shared" ref="L9:L39" si="1">(E9/M9)*100-100</f>
        <v>0</v>
      </c>
      <c r="M9" s="60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42"/>
      <c r="G10" s="42"/>
      <c r="H10" s="54"/>
      <c r="I10" s="52">
        <v>550</v>
      </c>
      <c r="J10" s="53"/>
      <c r="K10" s="53"/>
      <c r="L10" s="41">
        <f t="shared" si="1"/>
        <v>0</v>
      </c>
      <c r="M10" s="60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278.7801841804295</v>
      </c>
      <c r="F11" s="56">
        <v>350</v>
      </c>
      <c r="G11" s="56">
        <v>229.99</v>
      </c>
      <c r="H11" s="56">
        <v>350</v>
      </c>
      <c r="I11" s="57">
        <v>350</v>
      </c>
      <c r="J11" s="55">
        <v>206.99</v>
      </c>
      <c r="K11" s="55">
        <v>229.99</v>
      </c>
      <c r="L11" s="80">
        <f t="shared" si="1"/>
        <v>-0.70684710247363114</v>
      </c>
      <c r="M11" s="60">
        <v>280.76476176372336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56">
        <v>250</v>
      </c>
      <c r="G12" s="56">
        <v>169.99</v>
      </c>
      <c r="H12" s="56">
        <f>(220+250)/2</f>
        <v>235</v>
      </c>
      <c r="I12" s="57">
        <v>250</v>
      </c>
      <c r="J12" s="55">
        <v>169.99</v>
      </c>
      <c r="K12" s="55">
        <f>(169.99+199.99)/2</f>
        <v>184.99</v>
      </c>
      <c r="L12" s="80">
        <f t="shared" si="1"/>
        <v>0</v>
      </c>
      <c r="M12" s="60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789.32709688372563</v>
      </c>
      <c r="F13" s="56">
        <f>(270/0.5+250/0.18)/2</f>
        <v>964.44444444444446</v>
      </c>
      <c r="G13" s="81">
        <f>(118.99/0.18+129.99/0.18+139.99/0.18)/3</f>
        <v>720.31481481481478</v>
      </c>
      <c r="H13" s="56">
        <f>(140/0.18+150/0.18+165/0.18)/3</f>
        <v>842.59259259259272</v>
      </c>
      <c r="I13" s="57"/>
      <c r="J13" s="55">
        <f>(129.99/0.2+139.99/0.18)/2</f>
        <v>713.83611111111122</v>
      </c>
      <c r="K13" s="55">
        <f>(119.99/0.2+129.99/0.18+139.99/0.18+149.99/0.18)/4</f>
        <v>733.2791666666667</v>
      </c>
      <c r="L13" s="80">
        <f t="shared" si="1"/>
        <v>0</v>
      </c>
      <c r="M13" s="60">
        <v>789.32709688372563</v>
      </c>
      <c r="N13" s="15"/>
      <c r="O13" s="42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127.50741302346863</v>
      </c>
      <c r="F14" s="56">
        <v>140</v>
      </c>
      <c r="G14" s="56">
        <v>109.99</v>
      </c>
      <c r="H14" s="56">
        <f>(140+150/0.8)/2</f>
        <v>163.75</v>
      </c>
      <c r="I14" s="57"/>
      <c r="J14" s="55">
        <f>(89.99/0.9+109.99+119.99+129.99)/4</f>
        <v>114.98972222222223</v>
      </c>
      <c r="K14" s="56">
        <f>(104.99+109.99+119.99+129.99)/4</f>
        <v>116.24</v>
      </c>
      <c r="L14" s="80">
        <f t="shared" si="1"/>
        <v>0</v>
      </c>
      <c r="M14" s="60">
        <v>127.50741302346863</v>
      </c>
      <c r="N14" s="50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77.680976250852297</v>
      </c>
      <c r="F15" s="56">
        <f>70/0.9</f>
        <v>77.777777777777771</v>
      </c>
      <c r="G15" s="56">
        <f>(59.99/0.9+69.99/0.9+114.99/1.4+189.99/2)/4</f>
        <v>80.388234126984131</v>
      </c>
      <c r="H15" s="56">
        <f>75/0.9</f>
        <v>83.333333333333329</v>
      </c>
      <c r="I15" s="57"/>
      <c r="J15" s="55">
        <f>(63.99/0.9+155.99/2+124.99/1.4)/3</f>
        <v>79.457857142857151</v>
      </c>
      <c r="K15" s="55">
        <f>(52.99/0.9+56.99/0.9+59.99/0.9+69.99/0.9+149.99/2)/5</f>
        <v>68.323444444444448</v>
      </c>
      <c r="L15" s="80">
        <f t="shared" si="1"/>
        <v>0</v>
      </c>
      <c r="M15" s="60">
        <v>77.680976250852297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82.964524079682207</v>
      </c>
      <c r="F16" s="56">
        <v>85</v>
      </c>
      <c r="G16" s="56">
        <f>(49.99/0.97+82.99/0.9+99.99/0.93)/3</f>
        <v>83.754440872531987</v>
      </c>
      <c r="H16" s="56">
        <f>(85+115/0.95+100)/3</f>
        <v>102.01754385964914</v>
      </c>
      <c r="I16" s="57"/>
      <c r="J16" s="55">
        <f>(51.19/0.97+77.99/0.97+82.99)/3</f>
        <v>72.05508591065292</v>
      </c>
      <c r="K16" s="55">
        <f>(54.99/0.9+64.99+84.99/0.977+82.99/0.95)/4</f>
        <v>75.109670715940311</v>
      </c>
      <c r="L16" s="80">
        <f t="shared" si="1"/>
        <v>0</v>
      </c>
      <c r="M16" s="60">
        <v>82.964524079682207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90.48141394784129</v>
      </c>
      <c r="F17" s="82">
        <f>85/0.9</f>
        <v>94.444444444444443</v>
      </c>
      <c r="G17" s="82">
        <f>(72.99/0.9+79.99/0.9)/2</f>
        <v>84.98888888888888</v>
      </c>
      <c r="H17" s="82">
        <f>85/0.9</f>
        <v>94.444444444444443</v>
      </c>
      <c r="I17" s="83"/>
      <c r="J17" s="82">
        <f>(71.99/0.9+82.99+38.99/0.4+42.99/0.4)/4</f>
        <v>91.982222222222219</v>
      </c>
      <c r="K17" s="82">
        <f>(74.99/0.95+49.99/0.5+42.99/0.5+82.99)/4</f>
        <v>86.971710526315789</v>
      </c>
      <c r="L17" s="80">
        <f t="shared" si="1"/>
        <v>0</v>
      </c>
      <c r="M17" s="60">
        <v>90.48141394784129</v>
      </c>
      <c r="N17" s="50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250.70065407861557</v>
      </c>
      <c r="F18" s="82">
        <f>(85/0.4+120/0.4)/2</f>
        <v>256.25</v>
      </c>
      <c r="G18" s="82">
        <f>(99.99/0.5+139.99/0.5+129.99/0.5+79.99/0.3+64.99/0.3)/5</f>
        <v>244.64133333333334</v>
      </c>
      <c r="H18" s="82">
        <f>(145/0.5+125/0.5)/2</f>
        <v>270</v>
      </c>
      <c r="I18" s="83"/>
      <c r="J18" s="82">
        <f>(99.99/0.5+119.99/0.5+144.99/0.5+71.99/0.3+81.99/0.3)/5</f>
        <v>248.64133333333334</v>
      </c>
      <c r="K18" s="82">
        <f>(119.99/0.5+109.99/0.5+122.99/0.5)/3</f>
        <v>235.3133333333333</v>
      </c>
      <c r="L18" s="80">
        <f t="shared" si="1"/>
        <v>0</v>
      </c>
      <c r="M18" s="60">
        <v>250.70065407861557</v>
      </c>
      <c r="N18" s="48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377.65466350676604</v>
      </c>
      <c r="F19" s="82">
        <f>(185/0.5+160/0.4+175/0.5)/3</f>
        <v>373.33333333333331</v>
      </c>
      <c r="G19" s="82">
        <f>(104.99/0.3+115.99/0.38+134.99/0.35)/3</f>
        <v>346.96307435254806</v>
      </c>
      <c r="H19" s="82">
        <f>(160/0.4+185/0.5)/2</f>
        <v>385</v>
      </c>
      <c r="I19" s="83"/>
      <c r="J19" s="82">
        <f>(99.99/0.35+139.99/0.33+143.99/0.38+169.99/0.38)/4</f>
        <v>384.04024834814311</v>
      </c>
      <c r="K19" s="82">
        <f>(124.99/0.3+119.99/0.3+149.99/0.33+99.99/0.3)/4</f>
        <v>401.10378787878784</v>
      </c>
      <c r="L19" s="80">
        <f t="shared" si="1"/>
        <v>0</v>
      </c>
      <c r="M19" s="60">
        <v>377.65466350676604</v>
      </c>
      <c r="N19" s="49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58">
        <f t="shared" si="0"/>
        <v>139.5448560465795</v>
      </c>
      <c r="F20" s="56">
        <v>160</v>
      </c>
      <c r="G20" s="56">
        <f>(119.99+129.99+139.99)/3</f>
        <v>129.99</v>
      </c>
      <c r="H20" s="56">
        <v>160</v>
      </c>
      <c r="I20" s="57"/>
      <c r="J20" s="55">
        <f>(139.99+116.99+109.99)/3</f>
        <v>122.32333333333334</v>
      </c>
      <c r="K20" s="55">
        <f>(119.99+129.99+139.99)/3</f>
        <v>129.99</v>
      </c>
      <c r="L20" s="80">
        <f t="shared" si="1"/>
        <v>-0.26028304547885739</v>
      </c>
      <c r="M20" s="60">
        <v>139.90901549300418</v>
      </c>
      <c r="N20" s="50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74.940333167875593</v>
      </c>
      <c r="F21" s="56">
        <v>90</v>
      </c>
      <c r="G21" s="56">
        <v>66.989999999999995</v>
      </c>
      <c r="H21" s="56">
        <v>85</v>
      </c>
      <c r="I21" s="57"/>
      <c r="J21" s="55">
        <f>(65.99+328.99/5)/2</f>
        <v>65.894000000000005</v>
      </c>
      <c r="K21" s="55">
        <f>(69.99+349.99/5)/2</f>
        <v>69.994</v>
      </c>
      <c r="L21" s="80">
        <f t="shared" si="1"/>
        <v>-0.30078446820918714</v>
      </c>
      <c r="M21" s="60">
        <v>75.166422090833379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56">
        <f>140/0.1</f>
        <v>1400</v>
      </c>
      <c r="G22" s="56">
        <f>(24.89/0.1+139.99/0.25+169.99/0.1+119.99/0.1)/4</f>
        <v>927.16499999999996</v>
      </c>
      <c r="H22" s="56">
        <f>250/0.2</f>
        <v>1250</v>
      </c>
      <c r="I22" s="57"/>
      <c r="J22" s="55">
        <f>(24.59/0.1+149.99/0.25)/2</f>
        <v>422.93</v>
      </c>
      <c r="K22" s="55">
        <f>(89.99/0.1+169.99/0.25+269.99/0.2)/3</f>
        <v>976.60333333333335</v>
      </c>
      <c r="L22" s="80">
        <f t="shared" si="1"/>
        <v>0</v>
      </c>
      <c r="M22" s="60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23.012050483299618</v>
      </c>
      <c r="F23" s="56">
        <v>35</v>
      </c>
      <c r="G23" s="56">
        <v>17.989999999999998</v>
      </c>
      <c r="H23" s="56">
        <v>30</v>
      </c>
      <c r="I23" s="57"/>
      <c r="J23" s="55">
        <v>17.989999999999998</v>
      </c>
      <c r="K23" s="55">
        <f>18.99</f>
        <v>18.989999999999998</v>
      </c>
      <c r="L23" s="80">
        <f t="shared" si="1"/>
        <v>0</v>
      </c>
      <c r="M23" s="60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53.204886080317046</v>
      </c>
      <c r="F24" s="56">
        <f>140/2</f>
        <v>70</v>
      </c>
      <c r="G24" s="56">
        <f>94.99/2</f>
        <v>47.494999999999997</v>
      </c>
      <c r="H24" s="56">
        <f>(110+130)/4</f>
        <v>60</v>
      </c>
      <c r="I24" s="57"/>
      <c r="J24" s="55">
        <v>45</v>
      </c>
      <c r="K24" s="55">
        <f>(69.99/2+119.99/2)/2</f>
        <v>47.494999999999997</v>
      </c>
      <c r="L24" s="80">
        <f t="shared" si="1"/>
        <v>0</v>
      </c>
      <c r="M24" s="60">
        <v>53.204886080317046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78.866877727713359</v>
      </c>
      <c r="F25" s="56">
        <f>40/0.5</f>
        <v>80</v>
      </c>
      <c r="G25" s="56">
        <f>41.99/0.5</f>
        <v>83.98</v>
      </c>
      <c r="H25" s="56">
        <f>40/0.5</f>
        <v>80</v>
      </c>
      <c r="I25" s="57"/>
      <c r="J25" s="55">
        <f>(34.99/0.5+35.99/0.5)/2</f>
        <v>70.98</v>
      </c>
      <c r="K25" s="56">
        <f>39.99/0.5</f>
        <v>79.98</v>
      </c>
      <c r="L25" s="80">
        <f t="shared" si="1"/>
        <v>0.28417622286536925</v>
      </c>
      <c r="M25" s="60">
        <v>78.643391907058671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76.468000639817845</v>
      </c>
      <c r="F26" s="56">
        <f>40/0.5</f>
        <v>80</v>
      </c>
      <c r="G26" s="56">
        <f>34.99/0.5</f>
        <v>69.98</v>
      </c>
      <c r="H26" s="56">
        <f>40/0.5</f>
        <v>80</v>
      </c>
      <c r="I26" s="57"/>
      <c r="J26" s="55">
        <f>(34.99/0.5+38/0.5)/2</f>
        <v>72.990000000000009</v>
      </c>
      <c r="K26" s="55">
        <f>39.99/0.5</f>
        <v>79.98</v>
      </c>
      <c r="L26" s="80">
        <f t="shared" si="1"/>
        <v>0.55721516899365042</v>
      </c>
      <c r="M26" s="60">
        <v>76.044270429832267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82">
        <f>60/0.8</f>
        <v>75</v>
      </c>
      <c r="G27" s="82">
        <f>(32.99/0.8+104.99/0.8)/2</f>
        <v>86.237499999999983</v>
      </c>
      <c r="H27" s="82">
        <f>100/0.9</f>
        <v>111.11111111111111</v>
      </c>
      <c r="I27" s="59"/>
      <c r="J27" s="82">
        <f>(32.99/0.8+99.99/0.9)/2</f>
        <v>76.168749999999989</v>
      </c>
      <c r="K27" s="82">
        <f>(49.99/0.8+99.99/0.4)/2</f>
        <v>156.23124999999999</v>
      </c>
      <c r="L27" s="80">
        <f t="shared" si="1"/>
        <v>0</v>
      </c>
      <c r="M27" s="60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124.2773695289785</v>
      </c>
      <c r="F28" s="56">
        <f>(200/1.5+140/0.9)/2</f>
        <v>144.44444444444446</v>
      </c>
      <c r="G28" s="56">
        <f>(75.99/0.8+99.99/0.8+109.99/0.9)/3</f>
        <v>114.06203703703703</v>
      </c>
      <c r="H28" s="56">
        <f>(150/0.9+220/1.5)/2</f>
        <v>156.66666666666666</v>
      </c>
      <c r="I28" s="57"/>
      <c r="J28" s="55">
        <f>(75.99/0.8+89.99/0.9)/2</f>
        <v>97.488194444444431</v>
      </c>
      <c r="K28" s="55">
        <f>(84.99/0.8+99.99/0.8+109.99/0.9)/3</f>
        <v>117.81203703703703</v>
      </c>
      <c r="L28" s="80">
        <f t="shared" si="1"/>
        <v>-0.38028467585159831</v>
      </c>
      <c r="M28" s="60">
        <v>124.75178143663389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75.654483054386915</v>
      </c>
      <c r="F29" s="81">
        <f>90/0.9</f>
        <v>100</v>
      </c>
      <c r="G29" s="81">
        <v>50.49</v>
      </c>
      <c r="H29" s="81">
        <f>100/0.8</f>
        <v>125</v>
      </c>
      <c r="I29" s="57"/>
      <c r="J29" s="55">
        <f>54.99/0.8</f>
        <v>68.737499999999997</v>
      </c>
      <c r="K29" s="55">
        <v>57.13</v>
      </c>
      <c r="L29" s="80">
        <f t="shared" si="1"/>
        <v>0</v>
      </c>
      <c r="M29" s="61">
        <v>75.654483054386915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75.857754385592614</v>
      </c>
      <c r="F30" s="82">
        <f>80/0.8</f>
        <v>100</v>
      </c>
      <c r="G30" s="82">
        <f>(34.99/0.8+79.99/0.8)/2</f>
        <v>71.862499999999983</v>
      </c>
      <c r="H30" s="82">
        <f>100/0.9</f>
        <v>111.11111111111111</v>
      </c>
      <c r="I30" s="59"/>
      <c r="J30" s="82">
        <f>39.99/0.8</f>
        <v>49.987499999999997</v>
      </c>
      <c r="K30" s="82">
        <f>(54.99/0.8+39.99/0.7)/2</f>
        <v>62.933035714285715</v>
      </c>
      <c r="L30" s="80">
        <f t="shared" si="1"/>
        <v>0</v>
      </c>
      <c r="M30" s="61">
        <v>75.857754385592614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108.08958868987824</v>
      </c>
      <c r="F31" s="81">
        <f>120/0.9</f>
        <v>133.33333333333334</v>
      </c>
      <c r="G31" s="81">
        <f>(79.99/0.8+74.99/0.8+70.89/0.85+104.99/0.9)/4</f>
        <v>98.445138888888891</v>
      </c>
      <c r="H31" s="81">
        <f>120/0.9</f>
        <v>133.33333333333334</v>
      </c>
      <c r="I31" s="57"/>
      <c r="J31" s="55">
        <f>(69.99/0.9+79.99/0.8+113.99/0.8+44.99/0.8)/4</f>
        <v>94.119791666666671</v>
      </c>
      <c r="K31" s="81">
        <f>(44.99/0.8+79.99/0.8+89.99/0.8)/3</f>
        <v>89.570833333333326</v>
      </c>
      <c r="L31" s="80">
        <f t="shared" si="1"/>
        <v>0</v>
      </c>
      <c r="M31" s="61">
        <v>108.08958868987824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84"/>
      <c r="G32" s="82">
        <f>(17.99/0.4+69.99/0.8+39.99/0.8)/3</f>
        <v>60.816666666666663</v>
      </c>
      <c r="H32" s="82">
        <f>80/0.8</f>
        <v>100</v>
      </c>
      <c r="I32" s="83"/>
      <c r="J32" s="82">
        <f>(14.99/0.4+59.99/0.9)/2</f>
        <v>52.06527777777778</v>
      </c>
      <c r="K32" s="82">
        <f>(29.99/0.4+34.99/0.4+39.99/0.8)/3</f>
        <v>70.8125</v>
      </c>
      <c r="L32" s="80">
        <f t="shared" si="1"/>
        <v>0</v>
      </c>
      <c r="M32" s="62">
        <v>68.812950968291219</v>
      </c>
      <c r="N32" s="16"/>
    </row>
    <row r="33" spans="2:14" s="5" customFormat="1" ht="30" customHeight="1" x14ac:dyDescent="0.2">
      <c r="B33" s="28"/>
      <c r="C33" s="63" t="s">
        <v>36</v>
      </c>
      <c r="D33" s="14" t="s">
        <v>4</v>
      </c>
      <c r="E33" s="31">
        <f>IF(SUM(F33:K33)=0,0,SUM(GEOMEAN(F33:K33)))</f>
        <v>64.256119158835062</v>
      </c>
      <c r="F33" s="82">
        <f>85/0.6</f>
        <v>141.66666666666669</v>
      </c>
      <c r="G33" s="82">
        <f>29.99/0.8</f>
        <v>37.487499999999997</v>
      </c>
      <c r="H33" s="82">
        <f>80/0.65</f>
        <v>123.07692307692307</v>
      </c>
      <c r="I33" s="83"/>
      <c r="J33" s="82">
        <f>22.99/0.6</f>
        <v>38.316666666666663</v>
      </c>
      <c r="K33" s="82">
        <f>34.99/0.8</f>
        <v>43.737499999999997</v>
      </c>
      <c r="L33" s="80">
        <f t="shared" si="1"/>
        <v>0</v>
      </c>
      <c r="M33" s="62">
        <v>64.256119158835062</v>
      </c>
      <c r="N33" s="16"/>
    </row>
    <row r="34" spans="2:14" s="5" customFormat="1" ht="30" customHeight="1" x14ac:dyDescent="0.2">
      <c r="B34" s="28"/>
      <c r="C34" s="63" t="s">
        <v>22</v>
      </c>
      <c r="D34" s="14" t="s">
        <v>4</v>
      </c>
      <c r="E34" s="31">
        <f t="shared" si="0"/>
        <v>90.342462148235597</v>
      </c>
      <c r="F34" s="81">
        <f>90</f>
        <v>90</v>
      </c>
      <c r="G34" s="81">
        <f>(42.99/0.45+20.99/0.45)/2</f>
        <v>71.088888888888889</v>
      </c>
      <c r="H34" s="81">
        <f>80/0.45</f>
        <v>177.77777777777777</v>
      </c>
      <c r="I34" s="57"/>
      <c r="J34" s="55">
        <f>(19.99/0.4+49.99/0.45+34.99/0.4)/3</f>
        <v>82.846296296296288</v>
      </c>
      <c r="K34" s="55">
        <f>(19.99/0.4+34.99/0.45)/2</f>
        <v>63.865277777777777</v>
      </c>
      <c r="L34" s="80">
        <f t="shared" si="1"/>
        <v>0</v>
      </c>
      <c r="M34" s="62">
        <v>90.342462148235597</v>
      </c>
    </row>
    <row r="35" spans="2:14" s="5" customFormat="1" ht="30" customHeight="1" x14ac:dyDescent="0.2">
      <c r="B35" s="28"/>
      <c r="C35" s="63" t="s">
        <v>37</v>
      </c>
      <c r="D35" s="14" t="s">
        <v>4</v>
      </c>
      <c r="E35" s="31">
        <f>IF(SUM(F35:K35)=0,0,SUM(GEOMEAN(F35:K35)))</f>
        <v>86.816181591648572</v>
      </c>
      <c r="F35" s="64">
        <f>80/0.4</f>
        <v>200</v>
      </c>
      <c r="G35" s="64">
        <f>18.99/0.4</f>
        <v>47.474999999999994</v>
      </c>
      <c r="H35" s="64">
        <f>70/0.8</f>
        <v>87.5</v>
      </c>
      <c r="I35" s="59"/>
      <c r="J35" s="64">
        <f>(18.99/0.4+31.49/0.4)/2</f>
        <v>63.099999999999994</v>
      </c>
      <c r="K35" s="64">
        <f>(34.99/0.4+39.99/0.45+19.99/0.45+69.99/0.45)/4</f>
        <v>94.074305555555554</v>
      </c>
      <c r="L35" s="65">
        <f t="shared" si="1"/>
        <v>0</v>
      </c>
      <c r="M35" s="62">
        <v>86.816181591648572</v>
      </c>
    </row>
    <row r="36" spans="2:14" s="5" customFormat="1" ht="30" customHeight="1" x14ac:dyDescent="0.2">
      <c r="B36" s="28"/>
      <c r="C36" s="63" t="s">
        <v>23</v>
      </c>
      <c r="D36" s="14" t="s">
        <v>4</v>
      </c>
      <c r="E36" s="31">
        <f t="shared" si="0"/>
        <v>30.550998240199132</v>
      </c>
      <c r="F36" s="66">
        <v>35</v>
      </c>
      <c r="G36" s="66">
        <v>28.99</v>
      </c>
      <c r="H36" s="66">
        <v>35</v>
      </c>
      <c r="I36" s="57"/>
      <c r="J36" s="55">
        <v>24.99</v>
      </c>
      <c r="K36" s="55">
        <v>29.99</v>
      </c>
      <c r="L36" s="65">
        <f t="shared" si="1"/>
        <v>0.70454309686107308</v>
      </c>
      <c r="M36" s="62">
        <v>30.33725917490548</v>
      </c>
    </row>
    <row r="37" spans="2:14" s="5" customFormat="1" ht="30" customHeight="1" x14ac:dyDescent="0.2">
      <c r="B37" s="28"/>
      <c r="C37" s="63" t="s">
        <v>24</v>
      </c>
      <c r="D37" s="14" t="s">
        <v>4</v>
      </c>
      <c r="E37" s="31">
        <f t="shared" si="0"/>
        <v>44.695396624383839</v>
      </c>
      <c r="F37" s="66">
        <v>50</v>
      </c>
      <c r="G37" s="66">
        <v>33.99</v>
      </c>
      <c r="H37" s="66">
        <v>50</v>
      </c>
      <c r="I37" s="57"/>
      <c r="J37" s="55">
        <v>34.99</v>
      </c>
      <c r="K37" s="55">
        <v>59.99</v>
      </c>
      <c r="L37" s="65">
        <f t="shared" si="1"/>
        <v>11.549558094019545</v>
      </c>
      <c r="M37" s="62">
        <v>40.067748710140407</v>
      </c>
    </row>
    <row r="38" spans="2:14" s="5" customFormat="1" ht="30" customHeight="1" x14ac:dyDescent="0.2">
      <c r="B38" s="28"/>
      <c r="C38" s="63" t="s">
        <v>25</v>
      </c>
      <c r="D38" s="14" t="s">
        <v>4</v>
      </c>
      <c r="E38" s="31">
        <f>IF(SUM(F38:K38)=0,0,SUM(GEOMEAN(F38:K38)))</f>
        <v>39.63532545040789</v>
      </c>
      <c r="F38" s="66">
        <v>40</v>
      </c>
      <c r="G38" s="66">
        <v>37.99</v>
      </c>
      <c r="H38" s="66">
        <v>35</v>
      </c>
      <c r="I38" s="57"/>
      <c r="J38" s="55">
        <v>45.99</v>
      </c>
      <c r="K38" s="55">
        <v>39.99</v>
      </c>
      <c r="L38" s="65">
        <f t="shared" si="1"/>
        <v>1.3086944400844089</v>
      </c>
      <c r="M38" s="62">
        <v>39.123320727273665</v>
      </c>
    </row>
    <row r="39" spans="2:14" s="5" customFormat="1" ht="30" customHeight="1" x14ac:dyDescent="0.2">
      <c r="B39" s="28"/>
      <c r="C39" s="63" t="s">
        <v>26</v>
      </c>
      <c r="D39" s="14" t="s">
        <v>4</v>
      </c>
      <c r="E39" s="31">
        <f t="shared" si="0"/>
        <v>44.903448604770432</v>
      </c>
      <c r="F39" s="66">
        <v>60</v>
      </c>
      <c r="G39" s="66">
        <v>28.99</v>
      </c>
      <c r="H39" s="66">
        <v>50</v>
      </c>
      <c r="I39" s="57"/>
      <c r="J39" s="55">
        <v>41.99</v>
      </c>
      <c r="K39" s="55">
        <v>49.99</v>
      </c>
      <c r="L39" s="65">
        <f t="shared" si="1"/>
        <v>5.4706051245657932</v>
      </c>
      <c r="M39" s="62">
        <v>42.574372785419534</v>
      </c>
    </row>
    <row r="40" spans="2:14" s="5" customFormat="1" ht="30" customHeight="1" thickBot="1" x14ac:dyDescent="0.25">
      <c r="B40" s="29"/>
      <c r="C40" s="67" t="s">
        <v>27</v>
      </c>
      <c r="D40" s="68" t="s">
        <v>4</v>
      </c>
      <c r="E40" s="69">
        <f t="shared" si="0"/>
        <v>143.27716328562937</v>
      </c>
      <c r="F40" s="85">
        <v>180</v>
      </c>
      <c r="G40" s="85">
        <f>119.99</f>
        <v>119.99</v>
      </c>
      <c r="H40" s="85">
        <v>180</v>
      </c>
      <c r="I40" s="86"/>
      <c r="J40" s="87">
        <f>(109.99+119.99+129.99+105.99)/4</f>
        <v>116.49000000000001</v>
      </c>
      <c r="K40" s="87">
        <f>(119.99+129.99+149.99)/3</f>
        <v>133.32333333333335</v>
      </c>
      <c r="L40" s="88">
        <f>(E40/M40)*100-100</f>
        <v>-0.59031025304447837</v>
      </c>
      <c r="M40" s="70">
        <v>144.12796544314466</v>
      </c>
    </row>
    <row r="41" spans="2:14" ht="15" x14ac:dyDescent="0.2">
      <c r="C41" s="3"/>
      <c r="D41" s="4"/>
      <c r="F41" s="36"/>
      <c r="G41" s="38"/>
      <c r="H41" s="37"/>
      <c r="I41" s="37"/>
      <c r="J41" s="45"/>
      <c r="K41" s="37"/>
      <c r="L41" s="38"/>
      <c r="M41" s="38"/>
    </row>
    <row r="42" spans="2:14" ht="16.5" x14ac:dyDescent="0.25">
      <c r="C42" s="3"/>
      <c r="D42" s="4"/>
      <c r="F42" s="36"/>
      <c r="G42" s="43"/>
      <c r="H42" s="39"/>
      <c r="I42" s="39"/>
      <c r="J42" s="46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5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5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5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5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5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5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5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5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5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5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5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5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5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5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5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5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5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5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5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5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5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5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5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5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5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5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5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5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5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5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5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5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5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5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5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5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5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5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5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5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5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5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5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5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5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5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5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5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5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5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5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5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5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5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5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5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5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5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5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5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5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5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5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5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5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5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5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5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5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5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5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5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5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5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5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5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5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5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5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5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5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5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5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5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5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5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5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5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5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5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5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5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5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5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5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5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5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5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5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5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5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5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5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5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5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5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5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5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5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5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5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5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5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5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5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5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5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5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5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5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5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5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5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5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5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5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5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5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5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5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5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5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5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5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5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5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2024-02-09T05:32:17Z</cp:lastPrinted>
  <dcterms:created xsi:type="dcterms:W3CDTF">2007-04-16T07:34:00Z</dcterms:created>
  <dcterms:modified xsi:type="dcterms:W3CDTF">2024-02-12T06:58:20Z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