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общий!$C$1:$Q$40</definedName>
  </definedNames>
  <calcPr calcId="152511"/>
</workbook>
</file>

<file path=xl/calcChain.xml><?xml version="1.0" encoding="utf-8"?>
<calcChain xmlns="http://schemas.openxmlformats.org/spreadsheetml/2006/main">
  <c r="K28" i="1" l="1"/>
  <c r="K24" i="1"/>
  <c r="K20" i="1"/>
  <c r="K12" i="1"/>
  <c r="J34" i="1"/>
  <c r="J31" i="1"/>
  <c r="J30" i="1"/>
  <c r="J29" i="1"/>
  <c r="J25" i="1"/>
  <c r="J8" i="1"/>
  <c r="G35" i="1"/>
  <c r="G34" i="1"/>
  <c r="G26" i="1"/>
  <c r="G15" i="1"/>
  <c r="G13" i="1"/>
  <c r="J11" i="1" l="1"/>
  <c r="J40" i="1" l="1"/>
  <c r="J14" i="1"/>
  <c r="K14" i="1" l="1"/>
  <c r="J28" i="1"/>
  <c r="J22" i="1"/>
  <c r="J21" i="1"/>
  <c r="H18" i="1"/>
  <c r="J33" i="1" l="1"/>
  <c r="J32" i="1"/>
  <c r="J35" i="1"/>
  <c r="G28" i="1"/>
  <c r="K40" i="1"/>
  <c r="K33" i="1"/>
  <c r="K31" i="1"/>
  <c r="K27" i="1"/>
  <c r="K15" i="1"/>
  <c r="K21" i="1"/>
  <c r="K34" i="1" l="1"/>
  <c r="H34" i="1"/>
  <c r="H32" i="1"/>
  <c r="H30" i="1"/>
  <c r="G17" i="1"/>
  <c r="H13" i="1"/>
  <c r="H26" i="1" l="1"/>
  <c r="G18" i="1" l="1"/>
  <c r="K18" i="1" l="1"/>
  <c r="J18" i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J13" i="1"/>
  <c r="H17" i="1"/>
  <c r="J15" i="1" l="1"/>
  <c r="K22" i="1" l="1"/>
  <c r="H29" i="1"/>
  <c r="H33" i="1" l="1"/>
  <c r="J19" i="1"/>
  <c r="J17" i="1"/>
  <c r="J16" i="1"/>
  <c r="F15" i="1"/>
  <c r="G16" i="1"/>
  <c r="G30" i="1"/>
  <c r="G31" i="1"/>
  <c r="G27" i="1"/>
  <c r="G32" i="1"/>
  <c r="G25" i="1"/>
  <c r="K19" i="1"/>
  <c r="K17" i="1"/>
  <c r="K16" i="1"/>
  <c r="K30" i="1"/>
  <c r="K32" i="1"/>
  <c r="K35" i="1"/>
  <c r="E32" i="1" l="1"/>
  <c r="L8" i="1"/>
  <c r="J27" i="1" l="1"/>
  <c r="J26" i="1"/>
  <c r="H35" i="1" l="1"/>
  <c r="H28" i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H31" i="1"/>
  <c r="F31" i="1"/>
  <c r="F29" i="1"/>
  <c r="E29" i="1" s="1"/>
  <c r="F28" i="1"/>
  <c r="E28" i="1" s="1"/>
  <c r="K26" i="1"/>
  <c r="F26" i="1"/>
  <c r="K25" i="1"/>
  <c r="F25" i="1"/>
  <c r="F24" i="1"/>
  <c r="H22" i="1"/>
  <c r="G22" i="1"/>
  <c r="F22" i="1"/>
  <c r="L21" i="1"/>
  <c r="L20" i="1"/>
  <c r="H16" i="1"/>
  <c r="E16" i="1" s="1"/>
  <c r="H15" i="1"/>
  <c r="E15" i="1" s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<sst xmlns="http://schemas.openxmlformats.org/spreadsheetml/2006/main" count="81" uniqueCount="53">
  <si>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</si>
  <si>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</si>
  <si>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</si>
  <si>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</si>
  <si>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</si>
  <si>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</si>
  <si>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</si>
  <si>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</si>
  <si>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</si>
  <si>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</si>
  <si>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</si>
  <si>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</si>
  <si>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</si>
  <si>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</si>
  <si>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</si>
  <si>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</si>
  <si>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</si>
  <si>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</si>
  <si>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</si>
  <si>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</si>
  <si>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</si>
  <si>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</si>
  <si>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</si>
  <si>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</si>
  <si>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</si>
  <si>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</si>
  <si>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</si>
  <si>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</si>
  <si>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</si>
  <si>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</si>
  <si>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</si>
  <si>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</si>
  <si>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</si>
  <si>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</si>
  <si>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</si>
  <si>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</si>
  <si>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</si>
  <si>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</si>
  <si>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</si>
  <si>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</si>
  <si>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</si>
  <si>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</si>
  <si>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</si>
  <si>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</si>
  <si>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</si>
  <si>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</si>
  <si>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</si>
  <si>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</si>
  <si>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</si>
  <si>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</si>
  <si>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</si>
  <si>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Информация об изменении цен на социально-значимые товары, 
реализуемые на территории г. Пыть-Ях
по состоянию на 12.01.2024 г.</t>
  </si>
  <si>
    <t>Ср. цены на 29.12.2023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</si>
</sst>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4" fontId="16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left" vertical="center"/>
    </xf>
    <xf numFmtId="164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 vertical="center"/>
      <protection locked="0"/>
    </xf>
    <xf numFmtId="3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7" xfId="1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2" fontId="16" fillId="2" borderId="7" xfId="0" applyNumberFormat="1" applyFont="1" applyFill="1" applyBorder="1" applyAlignment="1">
      <alignment horizontal="center" vertical="center"/>
    </xf>
    <xf numFmtId="2" fontId="7" fillId="2" borderId="13" xfId="0" applyNumberFormat="1" applyFont="1" applyFill="1" applyBorder="1" applyAlignment="1" applyProtection="1">
      <alignment horizontal="center" vertical="center"/>
      <protection locked="0"/>
    </xf>
    <xf numFmtId="2" fontId="7" fillId="2" borderId="13" xfId="0" applyNumberFormat="1" applyFont="1" applyFill="1" applyBorder="1" applyAlignment="1">
      <alignment horizontal="center" vertical="center"/>
    </xf>
    <xf numFmtId="2" fontId="16" fillId="2" borderId="20" xfId="0" applyNumberFormat="1" applyFont="1" applyFill="1" applyBorder="1" applyAlignment="1" applyProtection="1">
      <alignment horizontal="center" vertical="center"/>
    </xf>
    <xf numFmtId="2" fontId="7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/>
    </xf>
    <xf numFmtId="2" fontId="12" fillId="0" borderId="24" xfId="0" applyNumberFormat="1" applyFont="1" applyFill="1" applyBorder="1" applyAlignment="1" applyProtection="1">
      <alignment horizontal="center" vertical="center" wrapText="1" shrinkToFit="1"/>
      <protection hidden="1"/>
    </xf>
    <xf numFmtId="2" fontId="16" fillId="2" borderId="24" xfId="0" applyNumberFormat="1" applyFont="1" applyFill="1" applyBorder="1" applyAlignment="1">
      <alignment horizontal="center" vertical="center"/>
    </xf>
    <xf numFmtId="164" fontId="16" fillId="2" borderId="24" xfId="0" applyNumberFormat="1" applyFont="1" applyFill="1" applyBorder="1" applyAlignment="1" applyProtection="1">
      <alignment horizontal="center" vertical="center"/>
      <protection locked="0"/>
    </xf>
    <xf numFmtId="2" fontId="16" fillId="2" borderId="24" xfId="0" applyNumberFormat="1" applyFont="1" applyFill="1" applyBorder="1" applyAlignment="1" applyProtection="1">
      <alignment horizontal="center" vertical="center"/>
      <protection locked="0"/>
    </xf>
    <xf numFmtId="3" fontId="6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27" sqref="K2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5" width="8.85546875" style="1"/>
    <col min="6" max="6" width="11.5703125" style="34" customWidth="1"/>
    <col min="7" max="7" width="12" style="1" customWidth="1"/>
    <col min="8" max="8" width="12.140625" style="35" customWidth="1"/>
    <col min="9" max="9" width="11.5703125" style="35" customWidth="1"/>
    <col min="10" max="10" width="11.28515625" style="46" customWidth="1"/>
    <col min="11" max="11" width="11.140625" style="35" customWidth="1"/>
    <col min="12" max="12" width="7.5703125" style="1" customWidth="1"/>
    <col min="13" max="13" width="9.42578125" style="1" customWidth="1"/>
    <col min="14" max="16384" width="8.85546875" style="1"/>
  </cols>
  <sheetData>
    <row r="1" spans="1:15" ht="47.25" customHeight="1" x14ac:dyDescent="0.2">
      <c r="B1" s="56" t="s">
        <v>51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5" x14ac:dyDescent="0.2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3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53" t="s">
        <v>38</v>
      </c>
      <c r="G4" s="53" t="s">
        <v>39</v>
      </c>
      <c r="H4" s="58" t="s">
        <v>40</v>
      </c>
      <c r="I4" s="58" t="s">
        <v>41</v>
      </c>
      <c r="J4" s="58" t="s">
        <v>42</v>
      </c>
      <c r="K4" s="58" t="s">
        <v>43</v>
      </c>
      <c r="L4" s="53" t="s">
        <v>44</v>
      </c>
      <c r="M4" s="51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54"/>
      <c r="G5" s="54"/>
      <c r="H5" s="59"/>
      <c r="I5" s="59"/>
      <c r="J5" s="59"/>
      <c r="K5" s="59"/>
      <c r="L5" s="54"/>
      <c r="M5" s="52"/>
    </row>
    <row r="6" spans="1:15" ht="18.75" x14ac:dyDescent="0.2">
      <c r="A6" s="2"/>
      <c r="B6" s="27"/>
      <c r="C6" s="20" t="s">
        <v>49</v>
      </c>
      <c r="D6" s="11"/>
      <c r="E6" s="12"/>
      <c r="F6" s="54"/>
      <c r="G6" s="54"/>
      <c r="H6" s="59"/>
      <c r="I6" s="59"/>
      <c r="J6" s="59"/>
      <c r="K6" s="59"/>
      <c r="L6" s="54"/>
      <c r="M6" s="52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55"/>
      <c r="G7" s="55"/>
      <c r="H7" s="60"/>
      <c r="I7" s="60"/>
      <c r="J7" s="60"/>
      <c r="K7" s="60"/>
      <c r="L7" s="55"/>
      <c r="M7" s="52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61"/>
      <c r="G8" s="61"/>
      <c r="H8" s="62"/>
      <c r="I8" s="63">
        <v>295</v>
      </c>
      <c r="J8" s="64">
        <f>(219.99+399.99)/2</f>
        <v>309.99</v>
      </c>
      <c r="K8" s="64"/>
      <c r="L8" s="65">
        <f>(E8/M8)*100-100</f>
        <v>3.3909036349267154</v>
      </c>
      <c r="M8" s="70">
        <v>292.484273081477</v>
      </c>
      <c r="N8" s="50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61"/>
      <c r="G9" s="61"/>
      <c r="H9" s="62"/>
      <c r="I9" s="63">
        <v>495</v>
      </c>
      <c r="J9" s="64"/>
      <c r="K9" s="64"/>
      <c r="L9" s="65">
        <f t="shared" ref="L9:L39" si="1">(E9/M9)*100-100</f>
        <v>0</v>
      </c>
      <c r="M9" s="70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61"/>
      <c r="G10" s="61"/>
      <c r="H10" s="62"/>
      <c r="I10" s="63">
        <v>550</v>
      </c>
      <c r="J10" s="64"/>
      <c r="K10" s="64"/>
      <c r="L10" s="65">
        <f t="shared" si="1"/>
        <v>0</v>
      </c>
      <c r="M10" s="70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276.4654593955791</v>
      </c>
      <c r="F11" s="61">
        <v>350</v>
      </c>
      <c r="G11" s="61">
        <v>199.99</v>
      </c>
      <c r="H11" s="61">
        <v>350</v>
      </c>
      <c r="I11" s="63">
        <v>350</v>
      </c>
      <c r="J11" s="64">
        <f>(203.99+229.99)/2</f>
        <v>216.99</v>
      </c>
      <c r="K11" s="64">
        <v>239.99</v>
      </c>
      <c r="L11" s="65">
        <f t="shared" si="1"/>
        <v>-0.32951602928764601</v>
      </c>
      <c r="M11" s="70">
        <v>277.37946920857433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61">
        <v>250</v>
      </c>
      <c r="G12" s="61">
        <v>169.99</v>
      </c>
      <c r="H12" s="61">
        <f>(220+250)/2</f>
        <v>235</v>
      </c>
      <c r="I12" s="63">
        <v>250</v>
      </c>
      <c r="J12" s="64">
        <v>169.99</v>
      </c>
      <c r="K12" s="64">
        <f>(169.99+199.99)/2</f>
        <v>184.99</v>
      </c>
      <c r="L12" s="65">
        <f t="shared" si="1"/>
        <v>0.93051831983636646</v>
      </c>
      <c r="M12" s="70">
        <v>205.02239843202929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783.05934851083055</v>
      </c>
      <c r="F13" s="61">
        <f>(270/0.5+250/0.18)/2</f>
        <v>964.44444444444446</v>
      </c>
      <c r="G13" s="69">
        <f>(108.39/0.18+119.99/0.18+129.99/0.18+139.99/0.18)/4</f>
        <v>692.16666666666674</v>
      </c>
      <c r="H13" s="61">
        <f>(140/0.18+150/0.18+165/0.18)/3</f>
        <v>842.59259259259272</v>
      </c>
      <c r="I13" s="63"/>
      <c r="J13" s="64">
        <f>(129.99/0.2+139.99/0.18)/2</f>
        <v>713.83611111111122</v>
      </c>
      <c r="K13" s="64">
        <f>(119.99/0.2+129.99/0.18+139.99/0.18+149.99/0.18)/4</f>
        <v>733.2791666666667</v>
      </c>
      <c r="L13" s="65">
        <f t="shared" si="1"/>
        <v>0.34055763048553445</v>
      </c>
      <c r="M13" s="70">
        <v>780.40163120732052</v>
      </c>
      <c r="N13" s="15"/>
      <c r="O13" s="41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126.28054823806323</v>
      </c>
      <c r="F14" s="61">
        <v>140</v>
      </c>
      <c r="G14" s="61">
        <v>109.99</v>
      </c>
      <c r="H14" s="61">
        <f>(140+150/0.8)/2</f>
        <v>163.75</v>
      </c>
      <c r="I14" s="63"/>
      <c r="J14" s="64">
        <f>(109.99+119.99+129.99)/3</f>
        <v>119.99000000000001</v>
      </c>
      <c r="K14" s="61">
        <f>(89.99/0.87+104.99+109.99)/3</f>
        <v>106.13892720306512</v>
      </c>
      <c r="L14" s="65">
        <f t="shared" si="1"/>
        <v>0</v>
      </c>
      <c r="M14" s="70">
        <v>126.28054823806323</v>
      </c>
      <c r="N14" s="49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75.973258901653466</v>
      </c>
      <c r="F15" s="61">
        <f>70/0.9</f>
        <v>77.777777777777771</v>
      </c>
      <c r="G15" s="61">
        <f>(57.99/0.9+69.99/0.9+114.99/1.4+189.99/2)/4</f>
        <v>79.832678571428573</v>
      </c>
      <c r="H15" s="61">
        <f>70/0.9</f>
        <v>77.777777777777771</v>
      </c>
      <c r="I15" s="63"/>
      <c r="J15" s="64">
        <f>(59.99/0.9+155.99/2+124.99/1.4)/3</f>
        <v>77.976375661375656</v>
      </c>
      <c r="K15" s="64">
        <f>(49.99/0.9+54.99/0.9+59.99/0.9+69.99/0.9+149.99/2)/5</f>
        <v>67.212333333333333</v>
      </c>
      <c r="L15" s="65">
        <f t="shared" si="1"/>
        <v>0.96597106123414278</v>
      </c>
      <c r="M15" s="70">
        <v>75.246400448698679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82.964524079682207</v>
      </c>
      <c r="F16" s="61">
        <v>85</v>
      </c>
      <c r="G16" s="61">
        <f>(49.99/0.97+82.99/0.9+99.99/0.93)/3</f>
        <v>83.754440872531987</v>
      </c>
      <c r="H16" s="61">
        <f>(85+115/0.95+100)/3</f>
        <v>102.01754385964914</v>
      </c>
      <c r="I16" s="63"/>
      <c r="J16" s="64">
        <f>(51.19/0.97+77.99/0.97+82.99)/3</f>
        <v>72.05508591065292</v>
      </c>
      <c r="K16" s="64">
        <f>(54.99/0.9+64.99+84.99/0.977+82.99/0.95)/4</f>
        <v>75.109670715940311</v>
      </c>
      <c r="L16" s="65">
        <f t="shared" si="1"/>
        <v>0</v>
      </c>
      <c r="M16" s="70">
        <v>82.964524079682207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89.390957855568189</v>
      </c>
      <c r="F17" s="66">
        <f>85/0.9</f>
        <v>94.444444444444443</v>
      </c>
      <c r="G17" s="66">
        <f>(72.99/0.9+79.99/0.9)/2</f>
        <v>84.98888888888888</v>
      </c>
      <c r="H17" s="66">
        <f>80/0.9</f>
        <v>88.888888888888886</v>
      </c>
      <c r="I17" s="67"/>
      <c r="J17" s="66">
        <f>(71.99/0.9+82.99+38.99/0.4+42.99/0.4)/4</f>
        <v>91.982222222222219</v>
      </c>
      <c r="K17" s="66">
        <f>(74.99/0.95+49.99/0.5+42.99/0.5+82.99)/4</f>
        <v>86.971710526315789</v>
      </c>
      <c r="L17" s="65">
        <f t="shared" si="1"/>
        <v>0</v>
      </c>
      <c r="M17" s="70">
        <v>89.390957855568189</v>
      </c>
      <c r="N17" s="49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248.53270026980138</v>
      </c>
      <c r="F18" s="66">
        <f>(85/0.4+120/0.4)/2</f>
        <v>256.25</v>
      </c>
      <c r="G18" s="66">
        <f>(99.99/0.5+139.99/0.5+129.99/0.5+79.99/0.3+64.99/0.3)/5</f>
        <v>244.64133333333334</v>
      </c>
      <c r="H18" s="66">
        <f>(145/0.5+125/0.5)/2</f>
        <v>270</v>
      </c>
      <c r="I18" s="67"/>
      <c r="J18" s="66">
        <f>(99.99/0.5+119.99/0.5+144.99/0.5+71.99/0.3+81.99/0.3)/5</f>
        <v>248.64133333333334</v>
      </c>
      <c r="K18" s="66">
        <f>(104.99/0.5+109.99/0.5+122.99/0.5)/3</f>
        <v>225.3133333333333</v>
      </c>
      <c r="L18" s="65">
        <f t="shared" si="1"/>
        <v>0</v>
      </c>
      <c r="M18" s="70">
        <v>248.53270026980138</v>
      </c>
      <c r="N18" s="47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377.65466350676604</v>
      </c>
      <c r="F19" s="66">
        <f>(185/0.5+160/0.4+175/0.5)/3</f>
        <v>373.33333333333331</v>
      </c>
      <c r="G19" s="66">
        <f>(104.99/0.3+115.99/0.38+134.99/0.35)/3</f>
        <v>346.96307435254806</v>
      </c>
      <c r="H19" s="66">
        <f>(160/0.4+185/0.5)/2</f>
        <v>385</v>
      </c>
      <c r="I19" s="67"/>
      <c r="J19" s="66">
        <f>(99.99/0.35+139.99/0.33+143.99/0.38+169.99/0.38)/4</f>
        <v>384.04024834814311</v>
      </c>
      <c r="K19" s="66">
        <f>(124.99/0.3+119.99/0.3+149.99/0.33+99.99/0.3)/4</f>
        <v>401.10378787878784</v>
      </c>
      <c r="L19" s="65">
        <f t="shared" si="1"/>
        <v>0</v>
      </c>
      <c r="M19" s="70">
        <v>377.65466350676604</v>
      </c>
      <c r="N19" s="48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31">
        <f t="shared" si="0"/>
        <v>157.19827694577148</v>
      </c>
      <c r="F20" s="61">
        <v>180</v>
      </c>
      <c r="G20" s="61">
        <v>149.99</v>
      </c>
      <c r="H20" s="61">
        <v>180</v>
      </c>
      <c r="I20" s="63"/>
      <c r="J20" s="64">
        <v>149.99</v>
      </c>
      <c r="K20" s="64">
        <f>(129.99+133.4)/2</f>
        <v>131.69499999999999</v>
      </c>
      <c r="L20" s="65">
        <f t="shared" si="1"/>
        <v>-3.2049559793983775</v>
      </c>
      <c r="M20" s="70">
        <v>162.40322894250016</v>
      </c>
      <c r="N20" s="49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75.053718158967115</v>
      </c>
      <c r="F21" s="61">
        <v>90</v>
      </c>
      <c r="G21" s="61">
        <v>66.989999999999995</v>
      </c>
      <c r="H21" s="61">
        <v>85</v>
      </c>
      <c r="I21" s="63"/>
      <c r="J21" s="64">
        <f>(66.99+328.99/5)/2</f>
        <v>66.394000000000005</v>
      </c>
      <c r="K21" s="64">
        <f>(69.99+349.99/5)/2</f>
        <v>69.994</v>
      </c>
      <c r="L21" s="65">
        <f t="shared" si="1"/>
        <v>0</v>
      </c>
      <c r="M21" s="70">
        <v>75.053718158967115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921.28469383301319</v>
      </c>
      <c r="F22" s="61">
        <f>140/0.1</f>
        <v>1400</v>
      </c>
      <c r="G22" s="61">
        <f>(23.89/0.1+139.99/0.25+169.99/0.1+119.99/0.1)/4</f>
        <v>924.66499999999996</v>
      </c>
      <c r="H22" s="61">
        <f>250/0.2</f>
        <v>1250</v>
      </c>
      <c r="I22" s="63"/>
      <c r="J22" s="64">
        <f>(24/0.1+149.99/0.25)/2</f>
        <v>419.98</v>
      </c>
      <c r="K22" s="64">
        <f>(89.99/0.1+169.99/0.25+269.99/0.2)/3</f>
        <v>976.60333333333335</v>
      </c>
      <c r="L22" s="65">
        <f t="shared" si="1"/>
        <v>0</v>
      </c>
      <c r="M22" s="70">
        <v>921.28469383301319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23.012050483299618</v>
      </c>
      <c r="F23" s="61">
        <v>35</v>
      </c>
      <c r="G23" s="61">
        <v>17.989999999999998</v>
      </c>
      <c r="H23" s="61">
        <v>30</v>
      </c>
      <c r="I23" s="63"/>
      <c r="J23" s="64">
        <v>17.989999999999998</v>
      </c>
      <c r="K23" s="64">
        <f>18.99</f>
        <v>18.989999999999998</v>
      </c>
      <c r="L23" s="65">
        <f t="shared" si="1"/>
        <v>0</v>
      </c>
      <c r="M23" s="70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53.420303326939468</v>
      </c>
      <c r="F24" s="61">
        <f>140/2</f>
        <v>70</v>
      </c>
      <c r="G24" s="61">
        <v>50</v>
      </c>
      <c r="H24" s="61">
        <v>65</v>
      </c>
      <c r="I24" s="63"/>
      <c r="J24" s="64">
        <v>45</v>
      </c>
      <c r="K24" s="64">
        <f>(69.99/2+99.99/2)/2</f>
        <v>42.494999999999997</v>
      </c>
      <c r="L24" s="65">
        <f t="shared" si="1"/>
        <v>1.2200217959195641</v>
      </c>
      <c r="M24" s="70">
        <v>52.776419505862009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77.879533665374282</v>
      </c>
      <c r="F25" s="61">
        <f>40/0.5</f>
        <v>80</v>
      </c>
      <c r="G25" s="61">
        <f>39.99/0.5</f>
        <v>79.98</v>
      </c>
      <c r="H25" s="61">
        <f>40/0.5</f>
        <v>80</v>
      </c>
      <c r="I25" s="63"/>
      <c r="J25" s="64">
        <f>34.99/0.5</f>
        <v>69.98</v>
      </c>
      <c r="K25" s="61">
        <f>39.99/0.5</f>
        <v>79.98</v>
      </c>
      <c r="L25" s="65">
        <f t="shared" si="1"/>
        <v>0</v>
      </c>
      <c r="M25" s="70">
        <v>77.879533665374282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77.088532954818191</v>
      </c>
      <c r="F26" s="61">
        <f>40/0.5</f>
        <v>80</v>
      </c>
      <c r="G26" s="61">
        <f>34.99/0.5</f>
        <v>69.98</v>
      </c>
      <c r="H26" s="61">
        <f>40/0.5</f>
        <v>80</v>
      </c>
      <c r="I26" s="63"/>
      <c r="J26" s="64">
        <f>38/0.5</f>
        <v>76</v>
      </c>
      <c r="K26" s="64">
        <f>39.99/0.5</f>
        <v>79.98</v>
      </c>
      <c r="L26" s="65">
        <f t="shared" si="1"/>
        <v>2.4180417026126833</v>
      </c>
      <c r="M26" s="70">
        <v>75.268509017832216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66">
        <f>60/0.8</f>
        <v>75</v>
      </c>
      <c r="G27" s="66">
        <f>(32.99/0.8+104.99/0.8)/2</f>
        <v>86.237499999999983</v>
      </c>
      <c r="H27" s="66">
        <f>100/0.9</f>
        <v>111.11111111111111</v>
      </c>
      <c r="I27" s="68"/>
      <c r="J27" s="66">
        <f>(32.99/0.8+99.99/0.9)/2</f>
        <v>76.168749999999989</v>
      </c>
      <c r="K27" s="66">
        <f>(49.99/0.8+99.99/0.4)/2</f>
        <v>156.23124999999999</v>
      </c>
      <c r="L27" s="65">
        <f t="shared" si="1"/>
        <v>0</v>
      </c>
      <c r="M27" s="70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123.14460204485728</v>
      </c>
      <c r="F28" s="61">
        <f>(200/1.5+140/0.9)/2</f>
        <v>144.44444444444446</v>
      </c>
      <c r="G28" s="61">
        <f>(78.39/0.8+99.99/0.8+109.99/0.9)/3</f>
        <v>115.06203703703703</v>
      </c>
      <c r="H28" s="61">
        <f>(130/0.9+220/1.5)/2</f>
        <v>145.55555555555554</v>
      </c>
      <c r="I28" s="63"/>
      <c r="J28" s="64">
        <f>(78.99/0.8+89.99/0.9)/2</f>
        <v>99.363194444444431</v>
      </c>
      <c r="K28" s="64">
        <f>(84.99/0.8+99.99/0.8+109.99/0.9)/3</f>
        <v>117.81203703703703</v>
      </c>
      <c r="L28" s="65">
        <f t="shared" si="1"/>
        <v>-0.34996620353953745</v>
      </c>
      <c r="M28" s="70">
        <v>123.57708006038965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74.225742645447411</v>
      </c>
      <c r="F29" s="69">
        <f>90/0.9</f>
        <v>100</v>
      </c>
      <c r="G29" s="69">
        <v>50.49</v>
      </c>
      <c r="H29" s="69">
        <f>100/0.8</f>
        <v>125</v>
      </c>
      <c r="I29" s="63"/>
      <c r="J29" s="64">
        <f>49.99/0.8</f>
        <v>62.487499999999997</v>
      </c>
      <c r="K29" s="64">
        <v>57.13</v>
      </c>
      <c r="L29" s="65">
        <f t="shared" si="1"/>
        <v>-4.9110155231452808</v>
      </c>
      <c r="M29" s="71">
        <v>78.05924424770194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78.357761710674069</v>
      </c>
      <c r="F30" s="66">
        <f>80/0.8</f>
        <v>100</v>
      </c>
      <c r="G30" s="66">
        <f>(34.99/0.8+79.99/0.8)/2</f>
        <v>71.862499999999983</v>
      </c>
      <c r="H30" s="66">
        <f>100/0.9</f>
        <v>111.11111111111111</v>
      </c>
      <c r="I30" s="68"/>
      <c r="J30" s="66">
        <f>39.99/0.8</f>
        <v>49.987499999999997</v>
      </c>
      <c r="K30" s="66">
        <f>(49.99/0.55+39.99/0.7)/2</f>
        <v>74.009740259740255</v>
      </c>
      <c r="L30" s="65">
        <f t="shared" si="1"/>
        <v>1.5718621445252694</v>
      </c>
      <c r="M30" s="71">
        <v>77.145146358722698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108.08958868987824</v>
      </c>
      <c r="F31" s="69">
        <f>120/0.9</f>
        <v>133.33333333333334</v>
      </c>
      <c r="G31" s="69">
        <f>(79.99/0.8+74.99/0.8+70.89/0.85+104.99/0.9)/4</f>
        <v>98.445138888888891</v>
      </c>
      <c r="H31" s="69">
        <f>120/0.9</f>
        <v>133.33333333333334</v>
      </c>
      <c r="I31" s="63"/>
      <c r="J31" s="64">
        <f>(69.99/0.9+79.99/0.8+113.99/0.8+44.99/0.8)/4</f>
        <v>94.119791666666671</v>
      </c>
      <c r="K31" s="69">
        <f>(44.99/0.8+79.99/0.8+89.99/0.8)/3</f>
        <v>89.570833333333326</v>
      </c>
      <c r="L31" s="65">
        <f t="shared" si="1"/>
        <v>0.20041356623279682</v>
      </c>
      <c r="M31" s="71">
        <v>107.87339577039837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72"/>
      <c r="G32" s="66">
        <f>(17.99/0.4+69.99/0.8+39.99/0.8)/3</f>
        <v>60.816666666666663</v>
      </c>
      <c r="H32" s="66">
        <f>45/0.45</f>
        <v>100</v>
      </c>
      <c r="I32" s="67"/>
      <c r="J32" s="66">
        <f>(14.99/0.4+59.99/0.9)/2</f>
        <v>52.06527777777778</v>
      </c>
      <c r="K32" s="66">
        <f>(29.99/0.4+34.99/0.4+39.99/0.8)/3</f>
        <v>70.8125</v>
      </c>
      <c r="L32" s="65">
        <f t="shared" si="1"/>
        <v>0</v>
      </c>
      <c r="M32" s="73">
        <v>68.812950968291219</v>
      </c>
      <c r="N32" s="16"/>
    </row>
    <row r="33" spans="2:14" s="5" customFormat="1" ht="30" customHeight="1" x14ac:dyDescent="0.2">
      <c r="B33" s="28"/>
      <c r="C33" s="74" t="s">
        <v>36</v>
      </c>
      <c r="D33" s="14" t="s">
        <v>4</v>
      </c>
      <c r="E33" s="31">
        <f>IF(SUM(F33:K33)=0,0,SUM(GEOMEAN(F33:K33)))</f>
        <v>64.256119158835062</v>
      </c>
      <c r="F33" s="66">
        <f>85/0.6</f>
        <v>141.66666666666669</v>
      </c>
      <c r="G33" s="66">
        <f>29.99/0.8</f>
        <v>37.487499999999997</v>
      </c>
      <c r="H33" s="66">
        <f>80/0.65</f>
        <v>123.07692307692307</v>
      </c>
      <c r="I33" s="67"/>
      <c r="J33" s="66">
        <f>22.99/0.6</f>
        <v>38.316666666666663</v>
      </c>
      <c r="K33" s="66">
        <f>34.99/0.8</f>
        <v>43.737499999999997</v>
      </c>
      <c r="L33" s="65">
        <f t="shared" si="1"/>
        <v>0</v>
      </c>
      <c r="M33" s="73">
        <v>64.256119158835062</v>
      </c>
      <c r="N33" s="16"/>
    </row>
    <row r="34" spans="2:14" s="5" customFormat="1" ht="30" customHeight="1" x14ac:dyDescent="0.2">
      <c r="B34" s="28"/>
      <c r="C34" s="74" t="s">
        <v>22</v>
      </c>
      <c r="D34" s="14" t="s">
        <v>4</v>
      </c>
      <c r="E34" s="31">
        <f t="shared" si="0"/>
        <v>94.845916419528606</v>
      </c>
      <c r="F34" s="69">
        <f>90</f>
        <v>90</v>
      </c>
      <c r="G34" s="69">
        <f>42.99/0.45</f>
        <v>95.533333333333331</v>
      </c>
      <c r="H34" s="69">
        <f>75/0.45</f>
        <v>166.66666666666666</v>
      </c>
      <c r="I34" s="63"/>
      <c r="J34" s="64">
        <f>(19.99/0.4+52.99/0.45)/2</f>
        <v>83.865277777777777</v>
      </c>
      <c r="K34" s="64">
        <f>(19.99/0.4+34.99/0.45)/2</f>
        <v>63.865277777777777</v>
      </c>
      <c r="L34" s="65">
        <f t="shared" si="1"/>
        <v>0.63803722900668447</v>
      </c>
      <c r="M34" s="73">
        <v>94.244600780222058</v>
      </c>
    </row>
    <row r="35" spans="2:14" s="5" customFormat="1" ht="30" customHeight="1" x14ac:dyDescent="0.2">
      <c r="B35" s="28"/>
      <c r="C35" s="74" t="s">
        <v>37</v>
      </c>
      <c r="D35" s="14" t="s">
        <v>4</v>
      </c>
      <c r="E35" s="31">
        <f>IF(SUM(F35:K35)=0,0,SUM(GEOMEAN(F35:K35)))</f>
        <v>86.46946051919052</v>
      </c>
      <c r="F35" s="66">
        <f>80/0.4</f>
        <v>200</v>
      </c>
      <c r="G35" s="66">
        <f>18.99/0.4</f>
        <v>47.474999999999994</v>
      </c>
      <c r="H35" s="66">
        <f>70/0.8</f>
        <v>87.5</v>
      </c>
      <c r="I35" s="68"/>
      <c r="J35" s="66">
        <f>(17.99/0.4+31.49/0.4)/2</f>
        <v>61.849999999999994</v>
      </c>
      <c r="K35" s="66">
        <f>(34.99/0.4+39.99/0.45+19.99/0.45+69.99/0.45)/4</f>
        <v>94.074305555555554</v>
      </c>
      <c r="L35" s="65">
        <f t="shared" si="1"/>
        <v>-1.0211430414883154</v>
      </c>
      <c r="M35" s="73">
        <v>87.361546876051875</v>
      </c>
    </row>
    <row r="36" spans="2:14" s="5" customFormat="1" ht="30" customHeight="1" x14ac:dyDescent="0.2">
      <c r="B36" s="28"/>
      <c r="C36" s="74" t="s">
        <v>23</v>
      </c>
      <c r="D36" s="14" t="s">
        <v>4</v>
      </c>
      <c r="E36" s="31">
        <f t="shared" si="0"/>
        <v>28.24772888860787</v>
      </c>
      <c r="F36" s="69">
        <v>35</v>
      </c>
      <c r="G36" s="69">
        <v>20.99</v>
      </c>
      <c r="H36" s="69">
        <v>35</v>
      </c>
      <c r="I36" s="63"/>
      <c r="J36" s="64">
        <v>24.99</v>
      </c>
      <c r="K36" s="64">
        <v>27.99</v>
      </c>
      <c r="L36" s="65">
        <f t="shared" si="1"/>
        <v>-1.8037973560113159</v>
      </c>
      <c r="M36" s="73">
        <v>28.766620427289123</v>
      </c>
    </row>
    <row r="37" spans="2:14" s="5" customFormat="1" ht="30" customHeight="1" x14ac:dyDescent="0.2">
      <c r="B37" s="28"/>
      <c r="C37" s="74" t="s">
        <v>24</v>
      </c>
      <c r="D37" s="14" t="s">
        <v>4</v>
      </c>
      <c r="E37" s="31">
        <f t="shared" si="0"/>
        <v>38.370322930401812</v>
      </c>
      <c r="F37" s="69">
        <v>50</v>
      </c>
      <c r="G37" s="69">
        <v>29.99</v>
      </c>
      <c r="H37" s="69">
        <v>50</v>
      </c>
      <c r="I37" s="63"/>
      <c r="J37" s="64">
        <v>29.99</v>
      </c>
      <c r="K37" s="64">
        <v>36.99</v>
      </c>
      <c r="L37" s="65">
        <f t="shared" si="1"/>
        <v>3.9748838978097751</v>
      </c>
      <c r="M37" s="73">
        <v>36.903453499513915</v>
      </c>
    </row>
    <row r="38" spans="2:14" s="5" customFormat="1" ht="30" customHeight="1" x14ac:dyDescent="0.2">
      <c r="B38" s="28"/>
      <c r="C38" s="74" t="s">
        <v>25</v>
      </c>
      <c r="D38" s="14" t="s">
        <v>4</v>
      </c>
      <c r="E38" s="31">
        <f>IF(SUM(F38:K38)=0,0,SUM(GEOMEAN(F38:K38)))</f>
        <v>37.894879656381946</v>
      </c>
      <c r="F38" s="69">
        <v>35</v>
      </c>
      <c r="G38" s="69">
        <v>37.99</v>
      </c>
      <c r="H38" s="69">
        <v>35</v>
      </c>
      <c r="I38" s="63"/>
      <c r="J38" s="64">
        <v>41.99</v>
      </c>
      <c r="K38" s="64">
        <v>39.99</v>
      </c>
      <c r="L38" s="65">
        <f t="shared" si="1"/>
        <v>1.5209998977860408</v>
      </c>
      <c r="M38" s="73">
        <v>37.327133986599307</v>
      </c>
    </row>
    <row r="39" spans="2:14" s="5" customFormat="1" ht="30" customHeight="1" x14ac:dyDescent="0.2">
      <c r="B39" s="28"/>
      <c r="C39" s="74" t="s">
        <v>26</v>
      </c>
      <c r="D39" s="14" t="s">
        <v>4</v>
      </c>
      <c r="E39" s="31">
        <f t="shared" si="0"/>
        <v>43.539652604239919</v>
      </c>
      <c r="F39" s="69">
        <v>60</v>
      </c>
      <c r="G39" s="69">
        <v>29.99</v>
      </c>
      <c r="H39" s="69">
        <v>50</v>
      </c>
      <c r="I39" s="63"/>
      <c r="J39" s="64">
        <v>28.99</v>
      </c>
      <c r="K39" s="64">
        <v>59.99</v>
      </c>
      <c r="L39" s="65">
        <f t="shared" si="1"/>
        <v>4.3862036730263725</v>
      </c>
      <c r="M39" s="73">
        <v>41.710160032853707</v>
      </c>
    </row>
    <row r="40" spans="2:14" s="5" customFormat="1" ht="30" customHeight="1" thickBot="1" x14ac:dyDescent="0.25">
      <c r="B40" s="29"/>
      <c r="C40" s="75" t="s">
        <v>27</v>
      </c>
      <c r="D40" s="76" t="s">
        <v>4</v>
      </c>
      <c r="E40" s="77">
        <f t="shared" si="0"/>
        <v>141.1224261112132</v>
      </c>
      <c r="F40" s="78">
        <v>180</v>
      </c>
      <c r="G40" s="78">
        <v>119.99</v>
      </c>
      <c r="H40" s="78">
        <v>180</v>
      </c>
      <c r="I40" s="79"/>
      <c r="J40" s="80">
        <f>(109.99+119.99+129.99)/3</f>
        <v>119.99000000000001</v>
      </c>
      <c r="K40" s="80">
        <f>(99.99+109.99+149.99)/3</f>
        <v>119.99000000000001</v>
      </c>
      <c r="L40" s="81">
        <f>(E40/M40)*100-100</f>
        <v>0</v>
      </c>
      <c r="M40" s="82">
        <v>141.1224261112132</v>
      </c>
    </row>
    <row r="41" spans="2:14" ht="15" x14ac:dyDescent="0.2">
      <c r="C41" s="3"/>
      <c r="D41" s="4"/>
      <c r="F41" s="36"/>
      <c r="G41" s="38"/>
      <c r="H41" s="37"/>
      <c r="I41" s="37"/>
      <c r="J41" s="44"/>
      <c r="K41" s="37"/>
      <c r="L41" s="38"/>
      <c r="M41" s="38"/>
    </row>
    <row r="42" spans="2:14" ht="16.5" x14ac:dyDescent="0.25">
      <c r="C42" s="3"/>
      <c r="D42" s="4"/>
      <c r="F42" s="36"/>
      <c r="G42" s="42"/>
      <c r="H42" s="39"/>
      <c r="I42" s="39"/>
      <c r="J42" s="45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4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4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4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4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4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4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4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4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4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4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4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4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4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4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4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4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4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4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4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4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4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4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4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4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4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4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4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4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4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4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4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4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4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4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4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4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4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4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4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4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4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4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4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4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4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4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4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4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4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4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4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4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4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4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4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4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4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4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4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4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4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4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4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4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4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4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4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4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4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4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4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4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4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4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4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4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4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4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4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4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4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4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4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4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4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4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4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4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4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4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4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4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4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4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4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4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4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4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4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4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4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4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4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4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4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4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4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4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4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4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4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4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4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4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4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4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4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4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4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4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4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4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4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4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4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4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4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4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4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4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4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4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4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4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4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4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M4:M7"/>
    <mergeCell ref="L4:L7"/>
    <mergeCell ref="B1:L2"/>
    <mergeCell ref="H4:H7"/>
    <mergeCell ref="I4:I7"/>
    <mergeCell ref="J4:J7"/>
    <mergeCell ref="K4:K7"/>
    <mergeCell ref="F4:F7"/>
    <mergeCell ref="G4:G7"/>
  </mergeCells>
  <pageMargins left="0.25" right="0.25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2024-01-12T04:35:36Z</cp:lastPrinted>
  <dcterms:created xsi:type="dcterms:W3CDTF">2007-04-16T07:34:00Z</dcterms:created>
  <dcterms:modified xsi:type="dcterms:W3CDTF">2024-01-12T06:54:55Z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