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1. Отчеты (еженедельные, ежемесячные, квартальные)\1. МОНИТОРИНГ ЦЕН\1. На сайт!!!\Ежемесячная информация на сайт\2024\На сайт без среднего изменения\"/>
    </mc:Choice>
  </mc:AlternateContent>
  <bookViews>
    <workbookView xWindow="0" yWindow="0" windowWidth="28350" windowHeight="12330"/>
  </bookViews>
  <sheets>
    <sheet name="общий" sheetId="1" r:id="rId1"/>
  </sheets>
  <definedNames>
    <definedName name="_xlnm._FilterDatabase" localSheetId="0" hidden="1">общий!$C$4:$K$40</definedName>
    <definedName name="_xlnm.Print_Area" localSheetId="0">общий!$C$1:$K$40</definedName>
  </definedNames>
  <calcPr calcId="152511"/>
</workbook>
</file>

<file path=xl/calcChain.xml><?xml version="1.0" encoding="utf-8"?>
<calcChain xmlns="http://schemas.openxmlformats.org/spreadsheetml/2006/main">
  <c r="K29" i="1" l="1"/>
  <c r="K20" i="1"/>
  <c r="J20" i="1"/>
  <c r="J11" i="1"/>
  <c r="H34" i="1"/>
  <c r="H18" i="1"/>
  <c r="H19" i="1"/>
  <c r="H11" i="1"/>
  <c r="G26" i="1"/>
  <c r="G20" i="1"/>
  <c r="K40" i="1" l="1"/>
  <c r="K28" i="1"/>
  <c r="K21" i="1"/>
  <c r="K14" i="1"/>
  <c r="K15" i="1"/>
  <c r="K16" i="1"/>
  <c r="K13" i="1"/>
  <c r="G15" i="1"/>
  <c r="G13" i="1"/>
  <c r="G40" i="1"/>
  <c r="G31" i="1"/>
  <c r="G32" i="1"/>
  <c r="G29" i="1"/>
  <c r="G14" i="1"/>
  <c r="J28" i="1" l="1"/>
  <c r="J8" i="1"/>
  <c r="K25" i="1" l="1"/>
  <c r="J25" i="1"/>
  <c r="J15" i="1"/>
  <c r="J14" i="1"/>
  <c r="G25" i="1"/>
  <c r="J13" i="1" l="1"/>
  <c r="G34" i="1"/>
  <c r="G28" i="1"/>
  <c r="G27" i="1"/>
  <c r="K17" i="1" l="1"/>
  <c r="J29" i="1"/>
  <c r="J17" i="1"/>
  <c r="J16" i="1"/>
  <c r="K31" i="1" l="1"/>
  <c r="H16" i="1" l="1"/>
  <c r="F18" i="1" l="1"/>
  <c r="F19" i="1"/>
  <c r="G18" i="1"/>
  <c r="G19" i="1"/>
  <c r="K19" i="1"/>
  <c r="K18" i="1"/>
  <c r="J19" i="1"/>
  <c r="J18" i="1"/>
  <c r="K12" i="1" l="1"/>
  <c r="H13" i="1"/>
  <c r="G30" i="1"/>
  <c r="F24" i="1"/>
  <c r="J26" i="1" l="1"/>
  <c r="K34" i="1" l="1"/>
  <c r="K24" i="1"/>
  <c r="H32" i="1"/>
  <c r="H31" i="1"/>
  <c r="H28" i="1"/>
  <c r="K30" i="1" l="1"/>
  <c r="J35" i="1"/>
  <c r="J34" i="1"/>
  <c r="J33" i="1"/>
  <c r="J30" i="1"/>
  <c r="H24" i="1"/>
  <c r="H17" i="1"/>
  <c r="H15" i="1"/>
  <c r="G35" i="1"/>
  <c r="J22" i="1" l="1"/>
  <c r="G24" i="1"/>
  <c r="G22" i="1"/>
  <c r="J32" i="1" l="1"/>
  <c r="K33" i="1"/>
  <c r="K27" i="1"/>
  <c r="H30" i="1" l="1"/>
  <c r="G17" i="1"/>
  <c r="H26" i="1" l="1"/>
  <c r="E38" i="1" l="1"/>
  <c r="E11" i="1" l="1"/>
  <c r="E8" i="1"/>
  <c r="E9" i="1"/>
  <c r="E40" i="1" l="1"/>
  <c r="H25" i="1"/>
  <c r="E10" i="1"/>
  <c r="E21" i="1"/>
  <c r="E36" i="1"/>
  <c r="E37" i="1"/>
  <c r="E39" i="1"/>
  <c r="E20" i="1" l="1"/>
  <c r="K23" i="1" l="1"/>
  <c r="E23" i="1" s="1"/>
  <c r="K22" i="1" l="1"/>
  <c r="H29" i="1"/>
  <c r="H33" i="1" l="1"/>
  <c r="F15" i="1"/>
  <c r="G16" i="1"/>
  <c r="K32" i="1"/>
  <c r="K35" i="1"/>
  <c r="E32" i="1" l="1"/>
  <c r="J27" i="1" l="1"/>
  <c r="H35" i="1" l="1"/>
  <c r="H27" i="1"/>
  <c r="H12" i="1"/>
  <c r="E12" i="1" s="1"/>
  <c r="F35" i="1" l="1"/>
  <c r="E35" i="1" s="1"/>
  <c r="G33" i="1"/>
  <c r="F33" i="1"/>
  <c r="F30" i="1"/>
  <c r="E30" i="1" s="1"/>
  <c r="F27" i="1"/>
  <c r="E27" i="1" s="1"/>
  <c r="E19" i="1"/>
  <c r="F17" i="1"/>
  <c r="E33" i="1" l="1"/>
  <c r="E17" i="1"/>
  <c r="E18" i="1"/>
  <c r="F34" i="1" l="1"/>
  <c r="E34" i="1" s="1"/>
  <c r="F31" i="1"/>
  <c r="F29" i="1"/>
  <c r="E29" i="1" s="1"/>
  <c r="F28" i="1"/>
  <c r="E28" i="1" s="1"/>
  <c r="K26" i="1"/>
  <c r="F26" i="1"/>
  <c r="F25" i="1"/>
  <c r="H22" i="1"/>
  <c r="F22" i="1"/>
  <c r="E16" i="1"/>
  <c r="E15" i="1"/>
  <c r="H14" i="1"/>
  <c r="E14" i="1" s="1"/>
  <c r="F13" i="1"/>
  <c r="E22" i="1" l="1"/>
  <c r="E31" i="1"/>
  <c r="E25" i="1"/>
  <c r="E24" i="1"/>
  <c r="E13" i="1"/>
  <c r="E26" i="1"/>
</calcChain>
</file>

<file path=xl/sharedStrings.xml><?xml version="1.0" encoding="utf-8"?>
<sst xmlns="http://schemas.openxmlformats.org/spreadsheetml/2006/main" count="79" uniqueCount="51">
  <si>
    <t xml:space="preserve"> 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</si>
  <si>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</si>
  <si>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</si>
  <si>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</si>
  <si>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</si>
  <si>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</si>
  <si>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</si>
  <si>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</si>
  <si>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</si>
  <si>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</si>
  <si>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</si>
  <si>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</si>
  <si>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</si>
  <si>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</si>
  <si>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</si>
  <si>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</si>
  <si>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</si>
  <si>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</si>
  <si>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</si>
  <si>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</si>
  <si>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</si>
  <si>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</si>
  <si>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</si>
  <si>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</si>
  <si>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</si>
  <si>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</si>
  <si>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</si>
  <si>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</si>
  <si>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Кисломолочные продукты (кефир, ряженка, простокваша, варенец, ацидофилин без добавок)</t>
  </si>
  <si>
    <t>литр.</t>
  </si>
  <si>
    <t>Сметана</t>
  </si>
  <si>
    <t>кг.</t>
  </si>
  <si>
    <t>Творог (жирный+нежирный+обезжиренный)</t>
  </si>
  <si>
    <t>Горох и фасоль</t>
  </si>
  <si>
    <t>Крупа манная</t>
  </si>
  <si>
    <t>Крупа овсянная и перловая</t>
  </si>
  <si>
    <t>Крупа пшеничная</t>
  </si>
  <si>
    <t>Макаронные изделия из пшеничной муки высшего сорта (все, за исключением вермишели)</t>
  </si>
  <si>
    <t xml:space="preserve">Магазин "Овощи и фрукты" (мкр.1, д.18) </t>
  </si>
  <si>
    <t>ООО "Магнит" (мкр.2, ул.Н.Самардакова, 2)</t>
  </si>
  <si>
    <t>Магазин "Океан" (мкр.4, д.2)</t>
  </si>
  <si>
    <t>Магазин "Мясо" (мкр.5, ТЦ "Нефтяник" 1 этаж.)</t>
  </si>
  <si>
    <t>Магазин "Пятерочка" (мкр.5 ул. Магистральная, 63)</t>
  </si>
  <si>
    <t xml:space="preserve">Магазин "Монетка"(1 мкр.ул. Первопроходцев, 10-а) </t>
  </si>
  <si>
    <r>
      <t xml:space="preserve">Свинина 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</si>
  <si>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</si>
  <si>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</si>
  <si>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 xml:space="preserve">Куры </t>
    </r>
    <r>
      <rPr>
        <sz val="9"/>
        <color theme="1"/>
        <rFont val="Times New Roman"/>
        <family val="1"/>
        <charset val="204"/>
      </rPr>
      <t>охлажденные и мороженные</t>
    </r>
  </si>
  <si>
    <t xml:space="preserve">  Сводная по городу Пыть-Яху</t>
  </si>
  <si>
    <t>РЕГИОНАЛЬНЫЙ ИНФОРМАЦИОННЫЙ МОНИТОРИНГ ЦЕН
апрель 2024 г</t>
  </si>
  <si>
    <t>Информация об изменении цен на социально-значимые товары, 
реализуемые на территории г. Пыть-Ях
по состоянию на 26.04.2024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</si>
</sst>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/>
    <xf numFmtId="0" fontId="2" fillId="2" borderId="0" xfId="0" applyFont="1" applyFill="1"/>
    <xf numFmtId="0" fontId="11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locked="0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 wrapText="1" shrinkToFit="1"/>
      <protection hidden="1"/>
    </xf>
    <xf numFmtId="0" fontId="5" fillId="0" borderId="7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/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9" fillId="0" borderId="16" xfId="0" applyFont="1" applyFill="1" applyBorder="1"/>
    <xf numFmtId="0" fontId="9" fillId="0" borderId="17" xfId="0" applyFont="1" applyFill="1" applyBorder="1"/>
    <xf numFmtId="0" fontId="6" fillId="2" borderId="5" xfId="0" applyFont="1" applyFill="1" applyBorder="1" applyAlignment="1" applyProtection="1">
      <alignment horizontal="center" vertical="center" wrapText="1" shrinkToFit="1"/>
      <protection hidden="1"/>
    </xf>
    <xf numFmtId="2" fontId="12" fillId="0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2" borderId="0" xfId="0" applyFont="1" applyFill="1"/>
    <xf numFmtId="4" fontId="5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/>
      <protection locked="0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2" fontId="13" fillId="2" borderId="0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2" fontId="14" fillId="2" borderId="0" xfId="0" applyNumberFormat="1" applyFont="1" applyFill="1" applyBorder="1" applyAlignment="1" applyProtection="1">
      <alignment horizontal="right"/>
      <protection locked="0"/>
    </xf>
    <xf numFmtId="2" fontId="13" fillId="0" borderId="0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8" fillId="0" borderId="1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 applyProtection="1">
      <alignment horizontal="center" vertical="center" wrapText="1" shrinkToFit="1"/>
      <protection hidden="1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/>
    <xf numFmtId="4" fontId="5" fillId="2" borderId="7" xfId="0" applyNumberFormat="1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 applyProtection="1">
      <alignment horizontal="center" vertical="center"/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Font="1" applyFill="1" applyBorder="1" applyAlignment="1">
      <alignment horizontal="left"/>
    </xf>
    <xf numFmtId="164" fontId="15" fillId="2" borderId="0" xfId="1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left"/>
    </xf>
    <xf numFmtId="164" fontId="15" fillId="2" borderId="0" xfId="1" applyNumberFormat="1" applyFont="1" applyFill="1" applyBorder="1" applyAlignment="1">
      <alignment horizontal="left"/>
    </xf>
    <xf numFmtId="164" fontId="0" fillId="2" borderId="0" xfId="0" applyNumberFormat="1" applyFont="1" applyFill="1"/>
    <xf numFmtId="164" fontId="0" fillId="0" borderId="0" xfId="0" applyNumberFormat="1" applyFont="1" applyFill="1" applyAlignment="1">
      <alignment horizontal="left"/>
    </xf>
    <xf numFmtId="164" fontId="0" fillId="2" borderId="0" xfId="0" applyNumberFormat="1" applyFont="1" applyFill="1" applyAlignment="1">
      <alignment horizontal="left"/>
    </xf>
    <xf numFmtId="4" fontId="5" fillId="2" borderId="7" xfId="1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 applyProtection="1">
      <alignment horizontal="center" vertical="center"/>
    </xf>
    <xf numFmtId="4" fontId="5" fillId="2" borderId="20" xfId="1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 applyProtection="1">
      <alignment horizontal="center" vertical="center"/>
      <protection locked="0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textRotation="90" wrapText="1"/>
      <protection locked="0"/>
    </xf>
    <xf numFmtId="0" fontId="4" fillId="2" borderId="6" xfId="0" applyFont="1" applyFill="1" applyBorder="1" applyAlignment="1" applyProtection="1">
      <alignment horizontal="center" textRotation="90" wrapText="1"/>
      <protection locked="0"/>
    </xf>
    <xf numFmtId="0" fontId="4" fillId="2" borderId="5" xfId="0" applyFont="1" applyFill="1" applyBorder="1" applyAlignment="1" applyProtection="1">
      <alignment horizontal="center" textRotation="90" wrapText="1"/>
      <protection locked="0"/>
    </xf>
    <xf numFmtId="0" fontId="7" fillId="2" borderId="0" xfId="0" applyFont="1" applyFill="1" applyAlignment="1">
      <alignment horizontal="center" wrapText="1"/>
    </xf>
    <xf numFmtId="0" fontId="4" fillId="2" borderId="10" xfId="0" applyFont="1" applyFill="1" applyBorder="1" applyAlignment="1" applyProtection="1">
      <alignment horizontal="left" textRotation="90" wrapText="1"/>
      <protection locked="0"/>
    </xf>
    <xf numFmtId="0" fontId="4" fillId="2" borderId="6" xfId="0" applyFont="1" applyFill="1" applyBorder="1" applyAlignment="1" applyProtection="1">
      <alignment horizontal="left" textRotation="90" wrapText="1"/>
      <protection locked="0"/>
    </xf>
    <xf numFmtId="0" fontId="4" fillId="2" borderId="5" xfId="0" applyFont="1" applyFill="1" applyBorder="1" applyAlignment="1" applyProtection="1">
      <alignment horizontal="left" textRotation="90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"/>
  <sheetViews>
    <sheetView tabSelected="1" view="pageBreakPreview" topLeftCell="C1" zoomScale="70" zoomScaleNormal="70" zoomScaleSheetLayoutView="70" workbookViewId="0">
      <pane xSplit="3" ySplit="7" topLeftCell="F8" activePane="bottomRight" state="frozen"/>
      <selection pane="topRight"/>
      <selection pane="bottomLeft"/>
      <selection pane="bottomRight" activeCell="C8" sqref="C8"/>
    </sheetView>
  </sheetViews>
  <sheetFormatPr defaultColWidth="8.85546875" defaultRowHeight="12.75" x14ac:dyDescent="0.2"/>
  <cols>
    <col min="1" max="2" width="8.85546875" style="1" hidden="1" customWidth="1"/>
    <col min="3" max="3" width="41.28515625" style="1" customWidth="1"/>
    <col min="4" max="4" width="8.85546875" style="1"/>
    <col min="5" max="5" width="10.42578125" style="1" customWidth="1"/>
    <col min="6" max="6" width="15.85546875" style="34" customWidth="1"/>
    <col min="7" max="7" width="14.85546875" style="1" customWidth="1"/>
    <col min="8" max="8" width="14.5703125" style="35" customWidth="1"/>
    <col min="9" max="9" width="13.140625" style="35" customWidth="1"/>
    <col min="10" max="10" width="15.42578125" style="42" customWidth="1"/>
    <col min="11" max="11" width="15.5703125" style="35" customWidth="1"/>
    <col min="12" max="12" width="9.7109375" style="1" bestFit="1" customWidth="1"/>
    <col min="13" max="16384" width="8.85546875" style="1"/>
  </cols>
  <sheetData>
    <row r="1" spans="1:13" ht="47.25" customHeight="1" x14ac:dyDescent="0.2">
      <c r="B1" s="80" t="s">
        <v>50</v>
      </c>
      <c r="C1" s="80"/>
      <c r="D1" s="80"/>
      <c r="E1" s="80"/>
      <c r="F1" s="80"/>
      <c r="G1" s="80"/>
      <c r="H1" s="80"/>
      <c r="I1" s="80"/>
      <c r="J1" s="80"/>
      <c r="K1" s="80"/>
    </row>
    <row r="2" spans="1:13" ht="12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3" ht="19.5" thickBot="1" x14ac:dyDescent="0.25">
      <c r="B3" s="6"/>
      <c r="C3" s="7"/>
      <c r="D3" s="7"/>
      <c r="E3" s="7"/>
      <c r="F3" s="32"/>
      <c r="G3" s="8"/>
      <c r="H3" s="33"/>
      <c r="I3" s="33"/>
      <c r="J3" s="40"/>
      <c r="K3" s="33"/>
    </row>
    <row r="4" spans="1:13" ht="82.5" customHeight="1" x14ac:dyDescent="0.2">
      <c r="A4" s="2"/>
      <c r="B4" s="26"/>
      <c r="C4" s="17" t="s">
        <v>49</v>
      </c>
      <c r="D4" s="18"/>
      <c r="E4" s="18"/>
      <c r="F4" s="77" t="s">
        <v>38</v>
      </c>
      <c r="G4" s="77" t="s">
        <v>39</v>
      </c>
      <c r="H4" s="81" t="s">
        <v>40</v>
      </c>
      <c r="I4" s="81" t="s">
        <v>41</v>
      </c>
      <c r="J4" s="81" t="s">
        <v>42</v>
      </c>
      <c r="K4" s="81" t="s">
        <v>43</v>
      </c>
    </row>
    <row r="5" spans="1:13" ht="18.75" x14ac:dyDescent="0.2">
      <c r="A5" s="2"/>
      <c r="B5" s="27"/>
      <c r="C5" s="19"/>
      <c r="D5" s="9" t="s">
        <v>0</v>
      </c>
      <c r="E5" s="10"/>
      <c r="F5" s="78"/>
      <c r="G5" s="78"/>
      <c r="H5" s="82"/>
      <c r="I5" s="82"/>
      <c r="J5" s="82"/>
      <c r="K5" s="82"/>
    </row>
    <row r="6" spans="1:13" ht="18.75" x14ac:dyDescent="0.2">
      <c r="A6" s="2"/>
      <c r="B6" s="27"/>
      <c r="C6" s="20" t="s">
        <v>48</v>
      </c>
      <c r="D6" s="11"/>
      <c r="E6" s="12"/>
      <c r="F6" s="78"/>
      <c r="G6" s="78"/>
      <c r="H6" s="82"/>
      <c r="I6" s="82"/>
      <c r="J6" s="82"/>
      <c r="K6" s="82"/>
    </row>
    <row r="7" spans="1:13" ht="38.25" x14ac:dyDescent="0.2">
      <c r="A7" s="2"/>
      <c r="B7" s="27"/>
      <c r="C7" s="21" t="s">
        <v>1</v>
      </c>
      <c r="D7" s="13" t="s">
        <v>2</v>
      </c>
      <c r="E7" s="30" t="s">
        <v>3</v>
      </c>
      <c r="F7" s="79"/>
      <c r="G7" s="79"/>
      <c r="H7" s="83"/>
      <c r="I7" s="83"/>
      <c r="J7" s="83"/>
      <c r="K7" s="83"/>
    </row>
    <row r="8" spans="1:13" s="5" customFormat="1" ht="30" customHeight="1" x14ac:dyDescent="0.25">
      <c r="B8" s="28"/>
      <c r="C8" s="22" t="s">
        <v>44</v>
      </c>
      <c r="D8" s="14" t="s">
        <v>4</v>
      </c>
      <c r="E8" s="31">
        <f>IF(SUM(F8:K8)=0,0,SUM(GEOMEAN(F8:K8)))</f>
        <v>302.40213292898579</v>
      </c>
      <c r="F8" s="39"/>
      <c r="G8" s="39"/>
      <c r="H8" s="55"/>
      <c r="I8" s="52">
        <v>295</v>
      </c>
      <c r="J8" s="59">
        <f>(219.99+399.99)/2</f>
        <v>309.99</v>
      </c>
      <c r="K8" s="53"/>
      <c r="L8" s="46"/>
    </row>
    <row r="9" spans="1:13" s="5" customFormat="1" ht="30" customHeight="1" x14ac:dyDescent="0.25">
      <c r="B9" s="28"/>
      <c r="C9" s="22" t="s">
        <v>45</v>
      </c>
      <c r="D9" s="14" t="s">
        <v>4</v>
      </c>
      <c r="E9" s="31">
        <f t="shared" ref="E9:E40" si="0">IF(SUM(F9:K9)=0,0,SUM(GEOMEAN(F9:K9)))</f>
        <v>495</v>
      </c>
      <c r="F9" s="56"/>
      <c r="G9" s="56"/>
      <c r="H9" s="57"/>
      <c r="I9" s="58">
        <v>495</v>
      </c>
      <c r="J9" s="59"/>
      <c r="K9" s="59"/>
      <c r="L9" s="15"/>
    </row>
    <row r="10" spans="1:13" s="5" customFormat="1" ht="30" customHeight="1" x14ac:dyDescent="0.25">
      <c r="B10" s="28"/>
      <c r="C10" s="22" t="s">
        <v>46</v>
      </c>
      <c r="D10" s="14" t="s">
        <v>4</v>
      </c>
      <c r="E10" s="31">
        <f t="shared" si="0"/>
        <v>550</v>
      </c>
      <c r="F10" s="56"/>
      <c r="G10" s="56"/>
      <c r="H10" s="57"/>
      <c r="I10" s="58">
        <v>550</v>
      </c>
      <c r="J10" s="59"/>
      <c r="K10" s="59"/>
      <c r="L10" s="15"/>
    </row>
    <row r="11" spans="1:13" s="5" customFormat="1" ht="30" customHeight="1" x14ac:dyDescent="0.25">
      <c r="B11" s="28"/>
      <c r="C11" s="23" t="s">
        <v>47</v>
      </c>
      <c r="D11" s="14" t="s">
        <v>4</v>
      </c>
      <c r="E11" s="31">
        <f>IF(SUM(F11:K11)=0,0,SUM(GEOMEAN(F11:K11)))</f>
        <v>263.24339672045448</v>
      </c>
      <c r="F11" s="39">
        <v>320</v>
      </c>
      <c r="G11" s="39">
        <v>199.99</v>
      </c>
      <c r="H11" s="39">
        <f>(350+330)/2</f>
        <v>340</v>
      </c>
      <c r="I11" s="52">
        <v>350</v>
      </c>
      <c r="J11" s="53">
        <f>(179.99+199.99)/2</f>
        <v>189.99</v>
      </c>
      <c r="K11" s="53">
        <v>229.99</v>
      </c>
      <c r="L11" s="15"/>
    </row>
    <row r="12" spans="1:13" s="5" customFormat="1" ht="30" customHeight="1" x14ac:dyDescent="0.25">
      <c r="B12" s="28"/>
      <c r="C12" s="23" t="s">
        <v>5</v>
      </c>
      <c r="D12" s="14" t="s">
        <v>4</v>
      </c>
      <c r="E12" s="31">
        <f t="shared" si="0"/>
        <v>206.93016940920725</v>
      </c>
      <c r="F12" s="39">
        <v>250</v>
      </c>
      <c r="G12" s="39">
        <v>169.99</v>
      </c>
      <c r="H12" s="39">
        <f>(220+250)/2</f>
        <v>235</v>
      </c>
      <c r="I12" s="52">
        <v>250</v>
      </c>
      <c r="J12" s="53">
        <v>169.99</v>
      </c>
      <c r="K12" s="53">
        <f>(169.99+199.99)/2</f>
        <v>184.99</v>
      </c>
      <c r="L12" s="15"/>
    </row>
    <row r="13" spans="1:13" s="5" customFormat="1" ht="30" customHeight="1" x14ac:dyDescent="0.25">
      <c r="B13" s="28"/>
      <c r="C13" s="23" t="s">
        <v>6</v>
      </c>
      <c r="D13" s="14" t="s">
        <v>4</v>
      </c>
      <c r="E13" s="31">
        <f t="shared" si="0"/>
        <v>822.02791361556103</v>
      </c>
      <c r="F13" s="39">
        <f>(270/0.5+250/0.18)/2</f>
        <v>964.44444444444446</v>
      </c>
      <c r="G13" s="70">
        <f>(99.99/0.18+119.99/0.18+142.99/0.18)/3</f>
        <v>672.16666666666663</v>
      </c>
      <c r="H13" s="39">
        <f>(420/0.5+190/0.18)/2</f>
        <v>947.77777777777783</v>
      </c>
      <c r="I13" s="52"/>
      <c r="J13" s="53">
        <f>(139.99/0.18+149.99/0.18+113.99/0.18)/3</f>
        <v>748.09259259259261</v>
      </c>
      <c r="K13" s="53">
        <f>(159.99/0.2+149.99/0.18)/2</f>
        <v>816.61388888888894</v>
      </c>
      <c r="L13" s="15"/>
      <c r="M13" s="39"/>
    </row>
    <row r="14" spans="1:13" s="5" customFormat="1" ht="30" customHeight="1" x14ac:dyDescent="0.25">
      <c r="B14" s="28"/>
      <c r="C14" s="23" t="s">
        <v>7</v>
      </c>
      <c r="D14" s="14" t="s">
        <v>8</v>
      </c>
      <c r="E14" s="31">
        <f t="shared" si="0"/>
        <v>125.52119885217378</v>
      </c>
      <c r="F14" s="39">
        <v>140</v>
      </c>
      <c r="G14" s="39">
        <f>(108.99+106.99+87.99+219.99/1.8)/4</f>
        <v>106.54666666666665</v>
      </c>
      <c r="H14" s="39">
        <f>(140+150/0.8)/2</f>
        <v>163.75</v>
      </c>
      <c r="I14" s="52"/>
      <c r="J14" s="53">
        <f>(86.99/0.9+109.99+111.99+129.99)/4</f>
        <v>112.15638888888888</v>
      </c>
      <c r="K14" s="39">
        <f>(89.99/0.9+104.99+119.99+129.99)/4</f>
        <v>113.73972222222223</v>
      </c>
      <c r="L14" s="45"/>
    </row>
    <row r="15" spans="1:13" s="5" customFormat="1" ht="30" customHeight="1" x14ac:dyDescent="0.25">
      <c r="B15" s="28"/>
      <c r="C15" s="23" t="s">
        <v>9</v>
      </c>
      <c r="D15" s="24" t="s">
        <v>8</v>
      </c>
      <c r="E15" s="31">
        <f t="shared" si="0"/>
        <v>77.624404769946096</v>
      </c>
      <c r="F15" s="39">
        <f>70/0.9</f>
        <v>77.777777777777771</v>
      </c>
      <c r="G15" s="39">
        <f>(57.99/0.9+65.99/0.9+114.99/1.4+189.99/2)/4</f>
        <v>78.721567460317459</v>
      </c>
      <c r="H15" s="39">
        <f>75/0.9</f>
        <v>83.333333333333329</v>
      </c>
      <c r="I15" s="52"/>
      <c r="J15" s="53">
        <f>(52.99/0.9+69.99/0.9+155.99/2+124.99/1.4)/4</f>
        <v>75.979503968253965</v>
      </c>
      <c r="K15" s="53">
        <f>(52.99/0.9+56.99/0.9+72.99/0.9+174.99/2)/4</f>
        <v>72.698750000000004</v>
      </c>
      <c r="L15" s="15"/>
    </row>
    <row r="16" spans="1:13" s="5" customFormat="1" ht="30" customHeight="1" x14ac:dyDescent="0.25">
      <c r="B16" s="28"/>
      <c r="C16" s="23" t="s">
        <v>10</v>
      </c>
      <c r="D16" s="25" t="s">
        <v>8</v>
      </c>
      <c r="E16" s="31">
        <f t="shared" si="0"/>
        <v>83.231133798321068</v>
      </c>
      <c r="F16" s="39">
        <v>85</v>
      </c>
      <c r="G16" s="39">
        <f>(49.99/0.97+82.99/0.9+99.99/0.93)/3</f>
        <v>83.754440872531987</v>
      </c>
      <c r="H16" s="39">
        <f>(75/0.9+115/0.95+100)/3</f>
        <v>101.46198830409357</v>
      </c>
      <c r="I16" s="52"/>
      <c r="J16" s="53">
        <f>(52.99/0.95+77.99/0.95+82.99)/3</f>
        <v>73.621228070175448</v>
      </c>
      <c r="K16" s="53">
        <f>(54.99/0.9+64.99+84.99/0.977+82.99/0.95)/4</f>
        <v>75.109670715940311</v>
      </c>
      <c r="L16" s="15"/>
    </row>
    <row r="17" spans="2:12" s="5" customFormat="1" ht="51.75" customHeight="1" x14ac:dyDescent="0.25">
      <c r="B17" s="28"/>
      <c r="C17" s="23" t="s">
        <v>28</v>
      </c>
      <c r="D17" s="14" t="s">
        <v>29</v>
      </c>
      <c r="E17" s="31">
        <f t="shared" si="0"/>
        <v>91.159996234678474</v>
      </c>
      <c r="F17" s="67">
        <f>85/0.9</f>
        <v>94.444444444444443</v>
      </c>
      <c r="G17" s="67">
        <f>(72.99/0.9+79.99/0.9)/2</f>
        <v>84.98888888888888</v>
      </c>
      <c r="H17" s="67">
        <f>85/0.9</f>
        <v>94.444444444444443</v>
      </c>
      <c r="I17" s="68"/>
      <c r="J17" s="67">
        <f>(74.99/0.9+82.99+38.99/0.4+42.99/0.4)/4</f>
        <v>92.815555555555562</v>
      </c>
      <c r="K17" s="67">
        <f>(74.99/0.95+54.99/0.5+42.99/0.5+82.99)/4</f>
        <v>89.471710526315789</v>
      </c>
      <c r="L17" s="45"/>
    </row>
    <row r="18" spans="2:12" s="5" customFormat="1" ht="30" customHeight="1" x14ac:dyDescent="0.25">
      <c r="B18" s="28"/>
      <c r="C18" s="23" t="s">
        <v>30</v>
      </c>
      <c r="D18" s="14" t="s">
        <v>31</v>
      </c>
      <c r="E18" s="31">
        <f t="shared" si="0"/>
        <v>247.95184319960543</v>
      </c>
      <c r="F18" s="67">
        <f>(85/0.4+110/0.4+132/0.5)/3</f>
        <v>250.5</v>
      </c>
      <c r="G18" s="67">
        <f>(99.99/0.5+139.99/0.5+129.99/0.5+79.99/0.3+64.99/0.3)/5</f>
        <v>244.64133333333334</v>
      </c>
      <c r="H18" s="67">
        <f>(125/0.47+145/0.5)/2</f>
        <v>277.97872340425533</v>
      </c>
      <c r="I18" s="68"/>
      <c r="J18" s="67">
        <f>(99.99/0.5+122.99/0.5+139.99/0.5+71.99/0.3+81.99/0.3)/5</f>
        <v>247.84133333333335</v>
      </c>
      <c r="K18" s="67">
        <f>(99.99/0.5+109.99/0.5+122.99/0.5)/3</f>
        <v>221.98</v>
      </c>
      <c r="L18" s="43"/>
    </row>
    <row r="19" spans="2:12" s="5" customFormat="1" ht="30" customHeight="1" x14ac:dyDescent="0.25">
      <c r="B19" s="28"/>
      <c r="C19" s="23" t="s">
        <v>32</v>
      </c>
      <c r="D19" s="14" t="s">
        <v>31</v>
      </c>
      <c r="E19" s="31">
        <f t="shared" si="0"/>
        <v>379.0967814193254</v>
      </c>
      <c r="F19" s="67">
        <f>(185/0.5+152/0.4+175/0.5)/3</f>
        <v>366.66666666666669</v>
      </c>
      <c r="G19" s="67">
        <f>(99.99/0.3+112.99/0.38+134.99/0.35)/3</f>
        <v>338.77593984962408</v>
      </c>
      <c r="H19" s="67">
        <f>(170/0.4+185/0.5)/2</f>
        <v>397.5</v>
      </c>
      <c r="I19" s="68"/>
      <c r="J19" s="67">
        <f>(99.99/0.35+139.99/0.33+144.99/0.38+179.99/0.38)/4</f>
        <v>391.27709045340623</v>
      </c>
      <c r="K19" s="67">
        <f>(129.99/0.3+119.99/0.3+149.99/0.33+99.99/0.3)/4</f>
        <v>405.27045454545453</v>
      </c>
      <c r="L19" s="44"/>
    </row>
    <row r="20" spans="2:12" s="5" customFormat="1" ht="30" customHeight="1" x14ac:dyDescent="0.25">
      <c r="B20" s="28"/>
      <c r="C20" s="23" t="s">
        <v>11</v>
      </c>
      <c r="D20" s="14" t="s">
        <v>12</v>
      </c>
      <c r="E20" s="47">
        <f t="shared" si="0"/>
        <v>134.06491757258192</v>
      </c>
      <c r="F20" s="39">
        <v>150</v>
      </c>
      <c r="G20" s="39">
        <f>(99.99+102.99+109.99+149.99)/4</f>
        <v>115.74</v>
      </c>
      <c r="H20" s="39">
        <v>160</v>
      </c>
      <c r="I20" s="52"/>
      <c r="J20" s="53">
        <f>(113.99+114.99+129.99+139.99)/4</f>
        <v>124.74000000000001</v>
      </c>
      <c r="K20" s="53">
        <f>(109.99+119.99+129.99+139.99)/4</f>
        <v>124.99000000000001</v>
      </c>
      <c r="L20" s="45"/>
    </row>
    <row r="21" spans="2:12" s="5" customFormat="1" ht="30" customHeight="1" x14ac:dyDescent="0.25">
      <c r="B21" s="28"/>
      <c r="C21" s="23" t="s">
        <v>13</v>
      </c>
      <c r="D21" s="14" t="s">
        <v>4</v>
      </c>
      <c r="E21" s="31">
        <f t="shared" si="0"/>
        <v>79.397474171283534</v>
      </c>
      <c r="F21" s="39">
        <v>90</v>
      </c>
      <c r="G21" s="39">
        <v>72.989999999999995</v>
      </c>
      <c r="H21" s="39">
        <v>85</v>
      </c>
      <c r="I21" s="52"/>
      <c r="J21" s="53">
        <v>71.989999999999995</v>
      </c>
      <c r="K21" s="53">
        <f>(79.99+384.99/5)/2</f>
        <v>78.494</v>
      </c>
      <c r="L21" s="15"/>
    </row>
    <row r="22" spans="2:12" s="5" customFormat="1" ht="30" customHeight="1" x14ac:dyDescent="0.25">
      <c r="B22" s="28"/>
      <c r="C22" s="23" t="s">
        <v>14</v>
      </c>
      <c r="D22" s="14" t="s">
        <v>4</v>
      </c>
      <c r="E22" s="31">
        <f t="shared" si="0"/>
        <v>923.07365135725138</v>
      </c>
      <c r="F22" s="39">
        <f>140/0.1</f>
        <v>1400</v>
      </c>
      <c r="G22" s="39">
        <f>(24.89/0.1+139.99/0.25+169.99/0.1+119.99/0.1)/4</f>
        <v>927.16499999999996</v>
      </c>
      <c r="H22" s="39">
        <f>250/0.2</f>
        <v>1250</v>
      </c>
      <c r="I22" s="52"/>
      <c r="J22" s="53">
        <f>(24.59/0.1+149.99/0.25)/2</f>
        <v>422.93</v>
      </c>
      <c r="K22" s="53">
        <f>(89.99/0.1+169.99/0.25+269.99/0.2)/3</f>
        <v>976.60333333333335</v>
      </c>
      <c r="L22" s="15"/>
    </row>
    <row r="23" spans="2:12" s="5" customFormat="1" ht="30" customHeight="1" x14ac:dyDescent="0.25">
      <c r="B23" s="28"/>
      <c r="C23" s="23" t="s">
        <v>15</v>
      </c>
      <c r="D23" s="14" t="s">
        <v>4</v>
      </c>
      <c r="E23" s="31">
        <f t="shared" si="0"/>
        <v>23.502369195309097</v>
      </c>
      <c r="F23" s="39">
        <v>35</v>
      </c>
      <c r="G23" s="39">
        <v>19.989999999999998</v>
      </c>
      <c r="H23" s="39">
        <v>30</v>
      </c>
      <c r="I23" s="52"/>
      <c r="J23" s="53">
        <v>17.989999999999998</v>
      </c>
      <c r="K23" s="53">
        <f>18.99</f>
        <v>18.989999999999998</v>
      </c>
      <c r="L23" s="15"/>
    </row>
    <row r="24" spans="2:12" s="5" customFormat="1" ht="30" customHeight="1" x14ac:dyDescent="0.25">
      <c r="B24" s="28"/>
      <c r="C24" s="23" t="s">
        <v>16</v>
      </c>
      <c r="D24" s="14" t="s">
        <v>4</v>
      </c>
      <c r="E24" s="31">
        <f t="shared" si="0"/>
        <v>52.010210199639921</v>
      </c>
      <c r="F24" s="39">
        <f>(110/2+140/2)/2</f>
        <v>62.5</v>
      </c>
      <c r="G24" s="39">
        <f>94.99/2</f>
        <v>47.494999999999997</v>
      </c>
      <c r="H24" s="39">
        <f>(110+130)/4</f>
        <v>60</v>
      </c>
      <c r="I24" s="52"/>
      <c r="J24" s="53">
        <v>44.99</v>
      </c>
      <c r="K24" s="53">
        <f>(69.99/2+119.99/2)/2</f>
        <v>47.494999999999997</v>
      </c>
      <c r="L24" s="15"/>
    </row>
    <row r="25" spans="2:12" s="5" customFormat="1" ht="36.75" customHeight="1" x14ac:dyDescent="0.25">
      <c r="B25" s="28"/>
      <c r="C25" s="23" t="s">
        <v>17</v>
      </c>
      <c r="D25" s="14" t="s">
        <v>4</v>
      </c>
      <c r="E25" s="31">
        <f t="shared" si="0"/>
        <v>79.626674918599477</v>
      </c>
      <c r="F25" s="39">
        <f>40/0.5</f>
        <v>80</v>
      </c>
      <c r="G25" s="39">
        <f>43.99/0.5</f>
        <v>87.98</v>
      </c>
      <c r="H25" s="39">
        <f>40/0.5</f>
        <v>80</v>
      </c>
      <c r="I25" s="52"/>
      <c r="J25" s="53">
        <f>(32.99/0.5+38.99/0.5)/2</f>
        <v>71.98</v>
      </c>
      <c r="K25" s="39">
        <f>(33.99/0.5+44.99/0.5)/2</f>
        <v>78.98</v>
      </c>
      <c r="L25" s="15"/>
    </row>
    <row r="26" spans="2:12" s="5" customFormat="1" ht="39.75" customHeight="1" x14ac:dyDescent="0.25">
      <c r="B26" s="28"/>
      <c r="C26" s="23" t="s">
        <v>18</v>
      </c>
      <c r="D26" s="14" t="s">
        <v>4</v>
      </c>
      <c r="E26" s="31">
        <f t="shared" si="0"/>
        <v>78.927169853067696</v>
      </c>
      <c r="F26" s="39">
        <f>40/0.5</f>
        <v>80</v>
      </c>
      <c r="G26" s="39">
        <f>(39.99/0.5+41.99/0.5)/2</f>
        <v>81.98</v>
      </c>
      <c r="H26" s="39">
        <f>40/0.5</f>
        <v>80</v>
      </c>
      <c r="I26" s="52"/>
      <c r="J26" s="53">
        <f>(34.99/0.5+38/0.5)/2</f>
        <v>72.990000000000009</v>
      </c>
      <c r="K26" s="53">
        <f>39.99/0.5</f>
        <v>79.98</v>
      </c>
      <c r="L26" s="15"/>
    </row>
    <row r="27" spans="2:12" s="5" customFormat="1" ht="30" customHeight="1" x14ac:dyDescent="0.25">
      <c r="B27" s="28"/>
      <c r="C27" s="23" t="s">
        <v>33</v>
      </c>
      <c r="D27" s="14" t="s">
        <v>4</v>
      </c>
      <c r="E27" s="31">
        <f>IF(SUM(F27:K27)=0,0,SUM(GEOMEAN(F27:K27)))</f>
        <v>97.337503363444995</v>
      </c>
      <c r="F27" s="67">
        <f>60/0.8</f>
        <v>75</v>
      </c>
      <c r="G27" s="67">
        <f>(37.99/0.8+102.99/0.8)/2</f>
        <v>88.112499999999983</v>
      </c>
      <c r="H27" s="67">
        <f>100/0.9</f>
        <v>111.11111111111111</v>
      </c>
      <c r="I27" s="69"/>
      <c r="J27" s="67">
        <f>(32.99/0.8+99.99/0.9)/2</f>
        <v>76.168749999999989</v>
      </c>
      <c r="K27" s="67">
        <f>(49.99/0.8+99.99/0.4)/2</f>
        <v>156.23124999999999</v>
      </c>
      <c r="L27" s="15"/>
    </row>
    <row r="28" spans="2:12" s="5" customFormat="1" ht="30" customHeight="1" x14ac:dyDescent="0.25">
      <c r="B28" s="28"/>
      <c r="C28" s="22" t="s">
        <v>19</v>
      </c>
      <c r="D28" s="14" t="s">
        <v>4</v>
      </c>
      <c r="E28" s="31">
        <f t="shared" si="0"/>
        <v>123.80866307096392</v>
      </c>
      <c r="F28" s="39">
        <f>(200/1.5+140/0.9)/2</f>
        <v>144.44444444444446</v>
      </c>
      <c r="G28" s="39">
        <f>(77.69/0.8+89.99/0.8+109.99/0.9)/3</f>
        <v>110.60370370370369</v>
      </c>
      <c r="H28" s="39">
        <f>(150/0.9+220/1.5)/2</f>
        <v>156.66666666666666</v>
      </c>
      <c r="I28" s="52"/>
      <c r="J28" s="53">
        <f>(77.49/0.8+84.99/0.9)/2</f>
        <v>95.647916666666646</v>
      </c>
      <c r="K28" s="53">
        <f>(84.99/0.8+99.99/0.8+119.99/0.9)/3</f>
        <v>121.51574074074074</v>
      </c>
      <c r="L28" s="15"/>
    </row>
    <row r="29" spans="2:12" s="5" customFormat="1" ht="30" customHeight="1" x14ac:dyDescent="0.2">
      <c r="B29" s="28"/>
      <c r="C29" s="23" t="s">
        <v>20</v>
      </c>
      <c r="D29" s="14" t="s">
        <v>4</v>
      </c>
      <c r="E29" s="31">
        <f t="shared" si="0"/>
        <v>77.232100716783975</v>
      </c>
      <c r="F29" s="70">
        <f>90/0.9</f>
        <v>100</v>
      </c>
      <c r="G29" s="70">
        <f>38.39/0.8</f>
        <v>47.987499999999997</v>
      </c>
      <c r="H29" s="70">
        <f>100/0.8</f>
        <v>125</v>
      </c>
      <c r="I29" s="52"/>
      <c r="J29" s="53">
        <f>59.99/0.8</f>
        <v>74.987499999999997</v>
      </c>
      <c r="K29" s="53">
        <f>54.98/0.9</f>
        <v>61.088888888888881</v>
      </c>
      <c r="L29" s="16"/>
    </row>
    <row r="30" spans="2:12" s="5" customFormat="1" ht="30" customHeight="1" x14ac:dyDescent="0.2">
      <c r="B30" s="28"/>
      <c r="C30" s="23" t="s">
        <v>34</v>
      </c>
      <c r="D30" s="14" t="s">
        <v>4</v>
      </c>
      <c r="E30" s="31">
        <f>IF(SUM(F30:K30)=0,0,SUM(GEOMEAN(F30:K30)))</f>
        <v>75.857565885402806</v>
      </c>
      <c r="F30" s="67">
        <f>80/0.8</f>
        <v>100</v>
      </c>
      <c r="G30" s="67">
        <f>(34.99/0.8+69.99/0.7)/2</f>
        <v>71.861607142857139</v>
      </c>
      <c r="H30" s="67">
        <f>100/0.9</f>
        <v>111.11111111111111</v>
      </c>
      <c r="I30" s="69"/>
      <c r="J30" s="67">
        <f>39.99/0.8</f>
        <v>49.987499999999997</v>
      </c>
      <c r="K30" s="67">
        <f>(54.99/0.8+39.99/0.7)/2</f>
        <v>62.933035714285715</v>
      </c>
      <c r="L30" s="16"/>
    </row>
    <row r="31" spans="2:12" s="5" customFormat="1" ht="30" customHeight="1" x14ac:dyDescent="0.2">
      <c r="B31" s="28"/>
      <c r="C31" s="23" t="s">
        <v>21</v>
      </c>
      <c r="D31" s="14" t="s">
        <v>4</v>
      </c>
      <c r="E31" s="31">
        <f t="shared" si="0"/>
        <v>106.44590777447311</v>
      </c>
      <c r="F31" s="70">
        <f>120/0.9</f>
        <v>133.33333333333334</v>
      </c>
      <c r="G31" s="70">
        <f>(69.99/0.8+74.99/0.8+70.89/0.85+104.99/0.9)/4</f>
        <v>95.320138888888891</v>
      </c>
      <c r="H31" s="70">
        <f>120/0.9</f>
        <v>133.33333333333334</v>
      </c>
      <c r="I31" s="52"/>
      <c r="J31" s="53">
        <v>92.18</v>
      </c>
      <c r="K31" s="70">
        <f>(39.99/0.8+79.99/0.8+89.99/0.8)/3</f>
        <v>87.487499999999997</v>
      </c>
      <c r="L31" s="16"/>
    </row>
    <row r="32" spans="2:12" s="5" customFormat="1" ht="30" customHeight="1" x14ac:dyDescent="0.2">
      <c r="B32" s="28"/>
      <c r="C32" s="23" t="s">
        <v>35</v>
      </c>
      <c r="D32" s="14" t="s">
        <v>4</v>
      </c>
      <c r="E32" s="31">
        <f>IF(SUM(F32:K32)=0,0,SUM(GEOMEAN(F32:K32)))</f>
        <v>68.883559828454409</v>
      </c>
      <c r="F32" s="71"/>
      <c r="G32" s="67">
        <f>(18.29/0.4+69.99/0.8+39.99/0.8)/3</f>
        <v>61.066666666666663</v>
      </c>
      <c r="H32" s="67">
        <f>80/0.8</f>
        <v>100</v>
      </c>
      <c r="I32" s="68"/>
      <c r="J32" s="67">
        <f>(14.99/0.4+59.99/0.9)/2</f>
        <v>52.06527777777778</v>
      </c>
      <c r="K32" s="67">
        <f>(29.99/0.4+34.99/0.4+39.99/0.8)/3</f>
        <v>70.8125</v>
      </c>
      <c r="L32" s="16"/>
    </row>
    <row r="33" spans="2:12" s="5" customFormat="1" ht="30" customHeight="1" x14ac:dyDescent="0.2">
      <c r="B33" s="28"/>
      <c r="C33" s="48" t="s">
        <v>36</v>
      </c>
      <c r="D33" s="14" t="s">
        <v>4</v>
      </c>
      <c r="E33" s="31">
        <f>IF(SUM(F33:K33)=0,0,SUM(GEOMEAN(F33:K33)))</f>
        <v>64.256119158835062</v>
      </c>
      <c r="F33" s="67">
        <f>85/0.6</f>
        <v>141.66666666666669</v>
      </c>
      <c r="G33" s="67">
        <f>29.99/0.8</f>
        <v>37.487499999999997</v>
      </c>
      <c r="H33" s="67">
        <f>80/0.65</f>
        <v>123.07692307692307</v>
      </c>
      <c r="I33" s="68"/>
      <c r="J33" s="67">
        <f>22.99/0.6</f>
        <v>38.316666666666663</v>
      </c>
      <c r="K33" s="67">
        <f>34.99/0.8</f>
        <v>43.737499999999997</v>
      </c>
      <c r="L33" s="16"/>
    </row>
    <row r="34" spans="2:12" s="5" customFormat="1" ht="30" customHeight="1" x14ac:dyDescent="0.2">
      <c r="B34" s="28"/>
      <c r="C34" s="48" t="s">
        <v>22</v>
      </c>
      <c r="D34" s="14" t="s">
        <v>4</v>
      </c>
      <c r="E34" s="31">
        <f t="shared" si="0"/>
        <v>90.214732265140853</v>
      </c>
      <c r="F34" s="70">
        <f>90</f>
        <v>90</v>
      </c>
      <c r="G34" s="70">
        <f>(34.99/0.4+23.99/0.4)/2</f>
        <v>73.724999999999994</v>
      </c>
      <c r="H34" s="70">
        <f>80/0.47</f>
        <v>170.21276595744681</v>
      </c>
      <c r="I34" s="52"/>
      <c r="J34" s="53">
        <f>(19.99/0.4+49.99/0.45+34.99/0.4)/3</f>
        <v>82.846296296296288</v>
      </c>
      <c r="K34" s="53">
        <f>(19.99/0.4+34.99/0.45)/2</f>
        <v>63.865277777777777</v>
      </c>
    </row>
    <row r="35" spans="2:12" s="5" customFormat="1" ht="30" customHeight="1" x14ac:dyDescent="0.2">
      <c r="B35" s="28"/>
      <c r="C35" s="48" t="s">
        <v>37</v>
      </c>
      <c r="D35" s="14" t="s">
        <v>4</v>
      </c>
      <c r="E35" s="31">
        <f>IF(SUM(F35:K35)=0,0,SUM(GEOMEAN(F35:K35)))</f>
        <v>86.816181591648572</v>
      </c>
      <c r="F35" s="72">
        <f>80/0.4</f>
        <v>200</v>
      </c>
      <c r="G35" s="72">
        <f>18.99/0.4</f>
        <v>47.474999999999994</v>
      </c>
      <c r="H35" s="72">
        <f>70/0.8</f>
        <v>87.5</v>
      </c>
      <c r="I35" s="69"/>
      <c r="J35" s="72">
        <f>(18.99/0.4+31.49/0.4)/2</f>
        <v>63.099999999999994</v>
      </c>
      <c r="K35" s="72">
        <f>(34.99/0.4+39.99/0.45+19.99/0.45+69.99/0.45)/4</f>
        <v>94.074305555555554</v>
      </c>
    </row>
    <row r="36" spans="2:12" s="5" customFormat="1" ht="30" customHeight="1" x14ac:dyDescent="0.2">
      <c r="B36" s="28"/>
      <c r="C36" s="48" t="s">
        <v>23</v>
      </c>
      <c r="D36" s="14" t="s">
        <v>4</v>
      </c>
      <c r="E36" s="31">
        <f t="shared" si="0"/>
        <v>28.362190504384102</v>
      </c>
      <c r="F36" s="73">
        <v>35</v>
      </c>
      <c r="G36" s="73">
        <v>24.99</v>
      </c>
      <c r="H36" s="73">
        <v>35</v>
      </c>
      <c r="I36" s="52"/>
      <c r="J36" s="53">
        <v>23.99</v>
      </c>
      <c r="K36" s="53">
        <v>24.99</v>
      </c>
    </row>
    <row r="37" spans="2:12" s="5" customFormat="1" ht="30" customHeight="1" x14ac:dyDescent="0.2">
      <c r="B37" s="28"/>
      <c r="C37" s="48" t="s">
        <v>24</v>
      </c>
      <c r="D37" s="14" t="s">
        <v>4</v>
      </c>
      <c r="E37" s="31">
        <f t="shared" si="0"/>
        <v>43.829880224626528</v>
      </c>
      <c r="F37" s="73">
        <v>50</v>
      </c>
      <c r="G37" s="73">
        <v>36.99</v>
      </c>
      <c r="H37" s="73">
        <v>50</v>
      </c>
      <c r="I37" s="52"/>
      <c r="J37" s="53">
        <v>34.99</v>
      </c>
      <c r="K37" s="53">
        <v>49.99</v>
      </c>
    </row>
    <row r="38" spans="2:12" s="5" customFormat="1" ht="30" customHeight="1" x14ac:dyDescent="0.2">
      <c r="B38" s="28"/>
      <c r="C38" s="48" t="s">
        <v>25</v>
      </c>
      <c r="D38" s="14" t="s">
        <v>4</v>
      </c>
      <c r="E38" s="31">
        <f>IF(SUM(F38:K38)=0,0,SUM(GEOMEAN(F38:K38)))</f>
        <v>38.547585645965533</v>
      </c>
      <c r="F38" s="73">
        <v>40</v>
      </c>
      <c r="G38" s="73">
        <v>38.99</v>
      </c>
      <c r="H38" s="73">
        <v>35</v>
      </c>
      <c r="I38" s="52"/>
      <c r="J38" s="53">
        <v>38.99</v>
      </c>
      <c r="K38" s="53">
        <v>39.99</v>
      </c>
    </row>
    <row r="39" spans="2:12" s="5" customFormat="1" ht="30" customHeight="1" x14ac:dyDescent="0.2">
      <c r="B39" s="28"/>
      <c r="C39" s="48" t="s">
        <v>26</v>
      </c>
      <c r="D39" s="14" t="s">
        <v>4</v>
      </c>
      <c r="E39" s="31">
        <f t="shared" si="0"/>
        <v>52.089476902186</v>
      </c>
      <c r="F39" s="73">
        <v>50</v>
      </c>
      <c r="G39" s="73">
        <v>49.5</v>
      </c>
      <c r="H39" s="73">
        <v>50</v>
      </c>
      <c r="I39" s="52"/>
      <c r="J39" s="53">
        <v>61.99</v>
      </c>
      <c r="K39" s="53">
        <v>49.99</v>
      </c>
      <c r="L39" s="54"/>
    </row>
    <row r="40" spans="2:12" s="5" customFormat="1" ht="30" customHeight="1" thickBot="1" x14ac:dyDescent="0.25">
      <c r="B40" s="29"/>
      <c r="C40" s="49" t="s">
        <v>27</v>
      </c>
      <c r="D40" s="50" t="s">
        <v>4</v>
      </c>
      <c r="E40" s="51">
        <f t="shared" si="0"/>
        <v>141.33559456620466</v>
      </c>
      <c r="F40" s="74">
        <v>180</v>
      </c>
      <c r="G40" s="74">
        <f>(106.99+119.99)/2</f>
        <v>113.49</v>
      </c>
      <c r="H40" s="74">
        <v>180</v>
      </c>
      <c r="I40" s="75"/>
      <c r="J40" s="76">
        <v>117.99</v>
      </c>
      <c r="K40" s="76">
        <f>(119.99+139.99)/2</f>
        <v>129.99</v>
      </c>
    </row>
    <row r="41" spans="2:12" ht="15" x14ac:dyDescent="0.2">
      <c r="C41" s="3"/>
      <c r="D41" s="4"/>
      <c r="F41" s="38"/>
      <c r="G41" s="38"/>
      <c r="H41" s="41"/>
      <c r="I41" s="41"/>
      <c r="J41" s="41"/>
      <c r="K41" s="41"/>
    </row>
    <row r="42" spans="2:12" ht="16.5" x14ac:dyDescent="0.25">
      <c r="C42" s="3"/>
      <c r="D42" s="4"/>
      <c r="F42" s="36"/>
      <c r="H42" s="62"/>
      <c r="I42" s="61"/>
      <c r="J42" s="63"/>
      <c r="K42" s="60"/>
    </row>
    <row r="43" spans="2:12" ht="15" x14ac:dyDescent="0.2">
      <c r="C43" s="3"/>
      <c r="D43" s="4"/>
      <c r="F43" s="36"/>
      <c r="G43" s="64"/>
      <c r="H43" s="65"/>
      <c r="I43" s="65"/>
      <c r="J43" s="66"/>
      <c r="K43" s="37"/>
    </row>
    <row r="44" spans="2:12" ht="15" x14ac:dyDescent="0.2">
      <c r="C44" s="3"/>
      <c r="D44" s="4"/>
      <c r="F44" s="36"/>
      <c r="G44" s="38"/>
      <c r="H44" s="37"/>
      <c r="I44" s="37"/>
      <c r="J44" s="41"/>
      <c r="K44" s="37"/>
    </row>
    <row r="45" spans="2:12" ht="15" x14ac:dyDescent="0.2">
      <c r="C45" s="3"/>
      <c r="D45" s="4"/>
      <c r="F45" s="36"/>
      <c r="G45" s="38"/>
      <c r="H45" s="37"/>
      <c r="I45" s="37"/>
      <c r="J45" s="41"/>
      <c r="K45" s="37"/>
    </row>
    <row r="46" spans="2:12" ht="15" x14ac:dyDescent="0.2">
      <c r="C46" s="3"/>
      <c r="D46" s="4"/>
      <c r="F46" s="36"/>
      <c r="G46" s="38"/>
      <c r="H46" s="37"/>
      <c r="I46" s="37"/>
      <c r="J46" s="41"/>
      <c r="K46" s="37"/>
    </row>
    <row r="47" spans="2:12" ht="15" x14ac:dyDescent="0.2">
      <c r="C47" s="3"/>
      <c r="D47" s="4"/>
      <c r="F47" s="36"/>
      <c r="G47" s="38"/>
      <c r="H47" s="37"/>
      <c r="I47" s="37"/>
      <c r="J47" s="41"/>
      <c r="K47" s="37"/>
    </row>
    <row r="48" spans="2:12" ht="15" x14ac:dyDescent="0.2">
      <c r="C48" s="3"/>
      <c r="D48" s="4"/>
      <c r="F48" s="36"/>
      <c r="G48" s="38"/>
      <c r="H48" s="37"/>
      <c r="I48" s="37"/>
      <c r="J48" s="41"/>
      <c r="K48" s="37"/>
    </row>
    <row r="49" spans="3:11" ht="15" x14ac:dyDescent="0.2">
      <c r="C49" s="3"/>
      <c r="D49" s="4"/>
      <c r="F49" s="36"/>
      <c r="G49" s="38"/>
      <c r="H49" s="37"/>
      <c r="I49" s="37"/>
      <c r="J49" s="41"/>
      <c r="K49" s="37"/>
    </row>
    <row r="50" spans="3:11" ht="15" x14ac:dyDescent="0.2">
      <c r="C50" s="3"/>
      <c r="D50" s="4"/>
      <c r="F50" s="36"/>
      <c r="G50" s="38"/>
      <c r="H50" s="37"/>
      <c r="I50" s="37"/>
      <c r="J50" s="41"/>
      <c r="K50" s="37"/>
    </row>
    <row r="51" spans="3:11" ht="15" x14ac:dyDescent="0.2">
      <c r="C51" s="3"/>
      <c r="D51" s="4"/>
      <c r="F51" s="36"/>
      <c r="G51" s="38"/>
      <c r="H51" s="37"/>
      <c r="I51" s="37"/>
      <c r="J51" s="41"/>
      <c r="K51" s="37"/>
    </row>
    <row r="52" spans="3:11" ht="15" x14ac:dyDescent="0.2">
      <c r="C52" s="3"/>
      <c r="D52" s="4"/>
      <c r="F52" s="36"/>
      <c r="G52" s="38"/>
      <c r="H52" s="37"/>
      <c r="I52" s="37"/>
      <c r="J52" s="41"/>
      <c r="K52" s="37"/>
    </row>
    <row r="53" spans="3:11" ht="15" x14ac:dyDescent="0.2">
      <c r="C53" s="3"/>
      <c r="D53" s="4"/>
      <c r="F53" s="36"/>
      <c r="G53" s="38"/>
      <c r="H53" s="37"/>
      <c r="I53" s="37"/>
      <c r="J53" s="41"/>
      <c r="K53" s="37"/>
    </row>
    <row r="54" spans="3:11" ht="15" x14ac:dyDescent="0.2">
      <c r="C54" s="3"/>
      <c r="D54" s="4"/>
      <c r="F54" s="36"/>
      <c r="G54" s="38"/>
      <c r="H54" s="37"/>
      <c r="I54" s="37"/>
      <c r="J54" s="41"/>
      <c r="K54" s="37"/>
    </row>
    <row r="55" spans="3:11" ht="15" x14ac:dyDescent="0.2">
      <c r="C55" s="3"/>
      <c r="D55" s="4"/>
      <c r="F55" s="36"/>
      <c r="G55" s="38"/>
      <c r="H55" s="37"/>
      <c r="I55" s="37"/>
      <c r="J55" s="41"/>
      <c r="K55" s="37"/>
    </row>
    <row r="56" spans="3:11" ht="15" x14ac:dyDescent="0.2">
      <c r="C56" s="3"/>
      <c r="D56" s="4"/>
      <c r="F56" s="36"/>
      <c r="G56" s="38"/>
      <c r="H56" s="37"/>
      <c r="I56" s="37"/>
      <c r="J56" s="41"/>
      <c r="K56" s="37"/>
    </row>
    <row r="57" spans="3:11" ht="15" x14ac:dyDescent="0.2">
      <c r="C57" s="3"/>
      <c r="D57" s="4"/>
      <c r="F57" s="36"/>
      <c r="G57" s="38"/>
      <c r="H57" s="37"/>
      <c r="I57" s="37"/>
      <c r="J57" s="41"/>
      <c r="K57" s="37"/>
    </row>
    <row r="58" spans="3:11" ht="15" x14ac:dyDescent="0.2">
      <c r="C58" s="3"/>
      <c r="D58" s="4"/>
      <c r="F58" s="36"/>
      <c r="G58" s="38"/>
      <c r="H58" s="37"/>
      <c r="I58" s="37"/>
      <c r="J58" s="41"/>
      <c r="K58" s="37"/>
    </row>
    <row r="59" spans="3:11" ht="15" x14ac:dyDescent="0.2">
      <c r="C59" s="3"/>
      <c r="D59" s="4"/>
      <c r="F59" s="36"/>
      <c r="G59" s="38"/>
      <c r="H59" s="37"/>
      <c r="I59" s="37"/>
      <c r="J59" s="41"/>
      <c r="K59" s="37"/>
    </row>
    <row r="60" spans="3:11" ht="15" x14ac:dyDescent="0.2">
      <c r="C60" s="3"/>
      <c r="D60" s="4"/>
      <c r="F60" s="36"/>
      <c r="G60" s="38"/>
      <c r="H60" s="37"/>
      <c r="I60" s="37"/>
      <c r="J60" s="41"/>
      <c r="K60" s="37"/>
    </row>
    <row r="61" spans="3:11" ht="15" x14ac:dyDescent="0.2">
      <c r="C61" s="3"/>
      <c r="D61" s="4"/>
      <c r="F61" s="36"/>
      <c r="G61" s="38"/>
      <c r="H61" s="37"/>
      <c r="I61" s="37"/>
      <c r="J61" s="41"/>
      <c r="K61" s="37"/>
    </row>
    <row r="62" spans="3:11" ht="15" x14ac:dyDescent="0.2">
      <c r="C62" s="3"/>
      <c r="D62" s="4"/>
      <c r="F62" s="36"/>
      <c r="G62" s="38"/>
      <c r="H62" s="37"/>
      <c r="I62" s="37"/>
      <c r="J62" s="41"/>
      <c r="K62" s="37"/>
    </row>
    <row r="63" spans="3:11" ht="15" x14ac:dyDescent="0.2">
      <c r="C63" s="3"/>
      <c r="D63" s="4"/>
      <c r="F63" s="36"/>
      <c r="G63" s="38"/>
      <c r="H63" s="37"/>
      <c r="I63" s="37"/>
      <c r="J63" s="41"/>
      <c r="K63" s="37"/>
    </row>
    <row r="64" spans="3:11" ht="15" x14ac:dyDescent="0.2">
      <c r="C64" s="3"/>
      <c r="D64" s="4"/>
      <c r="F64" s="36"/>
      <c r="G64" s="38"/>
      <c r="H64" s="37"/>
      <c r="I64" s="37"/>
      <c r="J64" s="41"/>
      <c r="K64" s="37"/>
    </row>
    <row r="65" spans="3:11" ht="15" x14ac:dyDescent="0.2">
      <c r="C65" s="3"/>
      <c r="D65" s="4"/>
      <c r="F65" s="36"/>
      <c r="G65" s="38"/>
      <c r="H65" s="37"/>
      <c r="I65" s="37"/>
      <c r="J65" s="41"/>
      <c r="K65" s="37"/>
    </row>
    <row r="66" spans="3:11" ht="15" x14ac:dyDescent="0.2">
      <c r="C66" s="3"/>
      <c r="D66" s="4"/>
      <c r="F66" s="36"/>
      <c r="G66" s="38"/>
      <c r="H66" s="37"/>
      <c r="I66" s="37"/>
      <c r="J66" s="41"/>
      <c r="K66" s="37"/>
    </row>
    <row r="67" spans="3:11" ht="15" x14ac:dyDescent="0.2">
      <c r="C67" s="3"/>
      <c r="D67" s="4"/>
      <c r="F67" s="36"/>
      <c r="G67" s="38"/>
      <c r="H67" s="37"/>
      <c r="I67" s="37"/>
      <c r="J67" s="41"/>
      <c r="K67" s="37"/>
    </row>
    <row r="68" spans="3:11" ht="15" x14ac:dyDescent="0.2">
      <c r="C68" s="3"/>
      <c r="D68" s="4"/>
      <c r="F68" s="36"/>
      <c r="G68" s="38"/>
      <c r="H68" s="37"/>
      <c r="I68" s="37"/>
      <c r="J68" s="41"/>
      <c r="K68" s="37"/>
    </row>
    <row r="69" spans="3:11" ht="15" x14ac:dyDescent="0.2">
      <c r="C69" s="3"/>
      <c r="D69" s="4"/>
      <c r="F69" s="36"/>
      <c r="G69" s="38"/>
      <c r="H69" s="37"/>
      <c r="I69" s="37"/>
      <c r="J69" s="41"/>
      <c r="K69" s="37"/>
    </row>
    <row r="70" spans="3:11" ht="15" x14ac:dyDescent="0.2">
      <c r="C70" s="3"/>
      <c r="D70" s="4"/>
      <c r="F70" s="36"/>
      <c r="G70" s="38"/>
      <c r="H70" s="37"/>
      <c r="I70" s="37"/>
      <c r="J70" s="41"/>
      <c r="K70" s="37"/>
    </row>
    <row r="71" spans="3:11" ht="15" x14ac:dyDescent="0.2">
      <c r="C71" s="3"/>
      <c r="D71" s="4"/>
      <c r="F71" s="36"/>
      <c r="G71" s="38"/>
      <c r="H71" s="37"/>
      <c r="I71" s="37"/>
      <c r="J71" s="41"/>
      <c r="K71" s="37"/>
    </row>
    <row r="72" spans="3:11" ht="15" x14ac:dyDescent="0.2">
      <c r="C72" s="3"/>
      <c r="D72" s="4"/>
      <c r="F72" s="36"/>
      <c r="G72" s="38"/>
      <c r="H72" s="37"/>
      <c r="I72" s="37"/>
      <c r="J72" s="41"/>
      <c r="K72" s="37"/>
    </row>
    <row r="73" spans="3:11" ht="15" x14ac:dyDescent="0.2">
      <c r="C73" s="3"/>
      <c r="D73" s="4"/>
      <c r="F73" s="36"/>
      <c r="G73" s="38"/>
      <c r="H73" s="37"/>
      <c r="I73" s="37"/>
      <c r="J73" s="41"/>
      <c r="K73" s="37"/>
    </row>
    <row r="74" spans="3:11" ht="15" x14ac:dyDescent="0.2">
      <c r="C74" s="3"/>
      <c r="D74" s="4"/>
      <c r="F74" s="36"/>
      <c r="G74" s="38"/>
      <c r="H74" s="37"/>
      <c r="I74" s="37"/>
      <c r="J74" s="41"/>
      <c r="K74" s="37"/>
    </row>
    <row r="75" spans="3:11" ht="15" x14ac:dyDescent="0.2">
      <c r="C75" s="3"/>
      <c r="D75" s="4"/>
      <c r="F75" s="36"/>
      <c r="G75" s="38"/>
      <c r="H75" s="37"/>
      <c r="I75" s="37"/>
      <c r="J75" s="41"/>
      <c r="K75" s="37"/>
    </row>
    <row r="76" spans="3:11" ht="15" x14ac:dyDescent="0.2">
      <c r="C76" s="3"/>
      <c r="D76" s="4"/>
      <c r="F76" s="36"/>
      <c r="G76" s="38"/>
      <c r="H76" s="37"/>
      <c r="I76" s="37"/>
      <c r="J76" s="41"/>
      <c r="K76" s="37"/>
    </row>
    <row r="77" spans="3:11" ht="15" x14ac:dyDescent="0.2">
      <c r="C77" s="3"/>
      <c r="D77" s="4"/>
      <c r="F77" s="36"/>
      <c r="G77" s="38"/>
      <c r="H77" s="37"/>
      <c r="I77" s="37"/>
      <c r="J77" s="41"/>
      <c r="K77" s="37"/>
    </row>
    <row r="78" spans="3:11" ht="15" x14ac:dyDescent="0.2">
      <c r="C78" s="3"/>
      <c r="D78" s="4"/>
      <c r="F78" s="36"/>
      <c r="G78" s="38"/>
      <c r="H78" s="37"/>
      <c r="I78" s="37"/>
      <c r="J78" s="41"/>
      <c r="K78" s="37"/>
    </row>
    <row r="79" spans="3:11" ht="15" x14ac:dyDescent="0.2">
      <c r="C79" s="3"/>
      <c r="D79" s="4"/>
      <c r="F79" s="36"/>
      <c r="G79" s="38"/>
      <c r="H79" s="37"/>
      <c r="I79" s="37"/>
      <c r="J79" s="41"/>
      <c r="K79" s="37"/>
    </row>
    <row r="80" spans="3:11" ht="15" x14ac:dyDescent="0.2">
      <c r="C80" s="3"/>
      <c r="D80" s="4"/>
      <c r="F80" s="36"/>
      <c r="G80" s="38"/>
      <c r="H80" s="37"/>
      <c r="I80" s="37"/>
      <c r="J80" s="41"/>
      <c r="K80" s="37"/>
    </row>
    <row r="81" spans="3:11" ht="15" x14ac:dyDescent="0.2">
      <c r="C81" s="3"/>
      <c r="D81" s="4"/>
      <c r="F81" s="36"/>
      <c r="G81" s="38"/>
      <c r="H81" s="37"/>
      <c r="I81" s="37"/>
      <c r="J81" s="41"/>
      <c r="K81" s="37"/>
    </row>
    <row r="82" spans="3:11" ht="15" x14ac:dyDescent="0.2">
      <c r="C82" s="3"/>
      <c r="D82" s="4"/>
      <c r="F82" s="36"/>
      <c r="G82" s="38"/>
      <c r="H82" s="37"/>
      <c r="I82" s="37"/>
      <c r="J82" s="41"/>
      <c r="K82" s="37"/>
    </row>
    <row r="83" spans="3:11" ht="15" x14ac:dyDescent="0.2">
      <c r="C83" s="3"/>
      <c r="D83" s="4"/>
      <c r="F83" s="36"/>
      <c r="G83" s="38"/>
      <c r="H83" s="37"/>
      <c r="I83" s="37"/>
      <c r="J83" s="41"/>
      <c r="K83" s="37"/>
    </row>
    <row r="84" spans="3:11" ht="15" x14ac:dyDescent="0.2">
      <c r="C84" s="3"/>
      <c r="D84" s="4"/>
      <c r="F84" s="36"/>
      <c r="G84" s="38"/>
      <c r="H84" s="37"/>
      <c r="I84" s="37"/>
      <c r="J84" s="41"/>
      <c r="K84" s="37"/>
    </row>
    <row r="85" spans="3:11" ht="15" x14ac:dyDescent="0.2">
      <c r="C85" s="3"/>
      <c r="D85" s="4"/>
      <c r="F85" s="36"/>
      <c r="G85" s="38"/>
      <c r="H85" s="37"/>
      <c r="I85" s="37"/>
      <c r="J85" s="41"/>
      <c r="K85" s="37"/>
    </row>
    <row r="86" spans="3:11" ht="15" x14ac:dyDescent="0.2">
      <c r="C86" s="3"/>
      <c r="D86" s="4"/>
      <c r="F86" s="36"/>
      <c r="G86" s="38"/>
      <c r="H86" s="37"/>
      <c r="I86" s="37"/>
      <c r="J86" s="41"/>
      <c r="K86" s="37"/>
    </row>
    <row r="87" spans="3:11" ht="15" x14ac:dyDescent="0.2">
      <c r="C87" s="3"/>
      <c r="D87" s="4"/>
      <c r="F87" s="36"/>
      <c r="G87" s="38"/>
      <c r="H87" s="37"/>
      <c r="I87" s="37"/>
      <c r="J87" s="41"/>
      <c r="K87" s="37"/>
    </row>
    <row r="88" spans="3:11" ht="15" x14ac:dyDescent="0.2">
      <c r="C88" s="3"/>
      <c r="D88" s="4"/>
      <c r="F88" s="36"/>
      <c r="G88" s="38"/>
      <c r="H88" s="37"/>
      <c r="I88" s="37"/>
      <c r="J88" s="41"/>
      <c r="K88" s="37"/>
    </row>
    <row r="89" spans="3:11" ht="15" x14ac:dyDescent="0.2">
      <c r="C89" s="3"/>
      <c r="D89" s="4"/>
      <c r="F89" s="36"/>
      <c r="G89" s="38"/>
      <c r="H89" s="37"/>
      <c r="I89" s="37"/>
      <c r="J89" s="41"/>
      <c r="K89" s="37"/>
    </row>
    <row r="90" spans="3:11" ht="15" x14ac:dyDescent="0.2">
      <c r="C90" s="3"/>
      <c r="D90" s="4"/>
      <c r="F90" s="36"/>
      <c r="G90" s="38"/>
      <c r="H90" s="37"/>
      <c r="I90" s="37"/>
      <c r="J90" s="41"/>
      <c r="K90" s="37"/>
    </row>
    <row r="91" spans="3:11" ht="15" x14ac:dyDescent="0.2">
      <c r="C91" s="3"/>
      <c r="D91" s="4"/>
      <c r="F91" s="36"/>
      <c r="G91" s="38"/>
      <c r="H91" s="37"/>
      <c r="I91" s="37"/>
      <c r="J91" s="41"/>
      <c r="K91" s="37"/>
    </row>
    <row r="92" spans="3:11" ht="15" x14ac:dyDescent="0.2">
      <c r="C92" s="3"/>
      <c r="D92" s="4"/>
      <c r="F92" s="36"/>
      <c r="G92" s="38"/>
      <c r="H92" s="37"/>
      <c r="I92" s="37"/>
      <c r="J92" s="41"/>
      <c r="K92" s="37"/>
    </row>
    <row r="93" spans="3:11" ht="15" x14ac:dyDescent="0.2">
      <c r="C93" s="3"/>
      <c r="D93" s="4"/>
      <c r="F93" s="36"/>
      <c r="G93" s="38"/>
      <c r="H93" s="37"/>
      <c r="I93" s="37"/>
      <c r="J93" s="41"/>
      <c r="K93" s="37"/>
    </row>
    <row r="94" spans="3:11" ht="15" x14ac:dyDescent="0.2">
      <c r="C94" s="3"/>
      <c r="D94" s="4"/>
      <c r="F94" s="36"/>
      <c r="G94" s="38"/>
      <c r="H94" s="37"/>
      <c r="I94" s="37"/>
      <c r="J94" s="41"/>
      <c r="K94" s="37"/>
    </row>
    <row r="95" spans="3:11" ht="15" x14ac:dyDescent="0.2">
      <c r="C95" s="3"/>
      <c r="D95" s="4"/>
      <c r="F95" s="36"/>
      <c r="G95" s="38"/>
      <c r="H95" s="37"/>
      <c r="I95" s="37"/>
      <c r="J95" s="41"/>
      <c r="K95" s="37"/>
    </row>
    <row r="96" spans="3:11" ht="15" x14ac:dyDescent="0.2">
      <c r="C96" s="3"/>
      <c r="D96" s="4"/>
      <c r="F96" s="36"/>
      <c r="G96" s="38"/>
      <c r="H96" s="37"/>
      <c r="I96" s="37"/>
      <c r="J96" s="41"/>
      <c r="K96" s="37"/>
    </row>
    <row r="97" spans="3:11" ht="15" x14ac:dyDescent="0.2">
      <c r="C97" s="3"/>
      <c r="D97" s="4"/>
      <c r="F97" s="36"/>
      <c r="G97" s="38"/>
      <c r="H97" s="37"/>
      <c r="I97" s="37"/>
      <c r="J97" s="41"/>
      <c r="K97" s="37"/>
    </row>
    <row r="98" spans="3:11" ht="15" x14ac:dyDescent="0.2">
      <c r="C98" s="3"/>
      <c r="D98" s="4"/>
      <c r="F98" s="36"/>
      <c r="G98" s="38"/>
      <c r="H98" s="37"/>
      <c r="I98" s="37"/>
      <c r="J98" s="41"/>
      <c r="K98" s="37"/>
    </row>
    <row r="99" spans="3:11" ht="15" x14ac:dyDescent="0.2">
      <c r="C99" s="3"/>
      <c r="D99" s="4"/>
      <c r="F99" s="36"/>
      <c r="G99" s="38"/>
      <c r="H99" s="37"/>
      <c r="I99" s="37"/>
      <c r="J99" s="41"/>
      <c r="K99" s="37"/>
    </row>
    <row r="100" spans="3:11" ht="15" x14ac:dyDescent="0.2">
      <c r="C100" s="3"/>
      <c r="D100" s="4"/>
      <c r="F100" s="36"/>
      <c r="G100" s="38"/>
      <c r="H100" s="37"/>
      <c r="I100" s="37"/>
      <c r="J100" s="41"/>
      <c r="K100" s="37"/>
    </row>
    <row r="101" spans="3:11" ht="15" x14ac:dyDescent="0.2">
      <c r="C101" s="3"/>
      <c r="D101" s="4"/>
      <c r="F101" s="36"/>
      <c r="G101" s="38"/>
      <c r="H101" s="37"/>
      <c r="I101" s="37"/>
      <c r="J101" s="41"/>
      <c r="K101" s="37"/>
    </row>
    <row r="102" spans="3:11" ht="15" x14ac:dyDescent="0.2">
      <c r="C102" s="3"/>
      <c r="D102" s="4"/>
      <c r="F102" s="36"/>
      <c r="G102" s="38"/>
      <c r="H102" s="37"/>
      <c r="I102" s="37"/>
      <c r="J102" s="41"/>
      <c r="K102" s="37"/>
    </row>
    <row r="103" spans="3:11" ht="15" x14ac:dyDescent="0.2">
      <c r="C103" s="3"/>
      <c r="D103" s="4"/>
      <c r="F103" s="36"/>
      <c r="G103" s="38"/>
      <c r="H103" s="37"/>
      <c r="I103" s="37"/>
      <c r="J103" s="41"/>
      <c r="K103" s="37"/>
    </row>
    <row r="104" spans="3:11" ht="15" x14ac:dyDescent="0.2">
      <c r="C104" s="3"/>
      <c r="D104" s="4"/>
      <c r="F104" s="36"/>
      <c r="G104" s="38"/>
      <c r="H104" s="37"/>
      <c r="I104" s="37"/>
      <c r="J104" s="41"/>
      <c r="K104" s="37"/>
    </row>
    <row r="105" spans="3:11" ht="15" x14ac:dyDescent="0.2">
      <c r="C105" s="3"/>
      <c r="D105" s="4"/>
      <c r="F105" s="36"/>
      <c r="G105" s="38"/>
      <c r="H105" s="37"/>
      <c r="I105" s="37"/>
      <c r="J105" s="41"/>
      <c r="K105" s="37"/>
    </row>
    <row r="106" spans="3:11" ht="15" x14ac:dyDescent="0.2">
      <c r="C106" s="3"/>
      <c r="D106" s="4"/>
      <c r="F106" s="36"/>
      <c r="G106" s="38"/>
      <c r="H106" s="37"/>
      <c r="I106" s="37"/>
      <c r="J106" s="41"/>
      <c r="K106" s="37"/>
    </row>
    <row r="107" spans="3:11" ht="15" x14ac:dyDescent="0.2">
      <c r="C107" s="3"/>
      <c r="D107" s="4"/>
      <c r="F107" s="36"/>
      <c r="G107" s="38"/>
      <c r="H107" s="37"/>
      <c r="I107" s="37"/>
      <c r="J107" s="41"/>
      <c r="K107" s="37"/>
    </row>
    <row r="108" spans="3:11" ht="15" x14ac:dyDescent="0.2">
      <c r="C108" s="3"/>
      <c r="D108" s="4"/>
      <c r="F108" s="36"/>
      <c r="G108" s="38"/>
      <c r="H108" s="37"/>
      <c r="I108" s="37"/>
      <c r="J108" s="41"/>
      <c r="K108" s="37"/>
    </row>
    <row r="109" spans="3:11" ht="15" x14ac:dyDescent="0.2">
      <c r="C109" s="3"/>
      <c r="D109" s="4"/>
      <c r="F109" s="36"/>
      <c r="G109" s="38"/>
      <c r="H109" s="37"/>
      <c r="I109" s="37"/>
      <c r="J109" s="41"/>
      <c r="K109" s="37"/>
    </row>
    <row r="110" spans="3:11" ht="15" x14ac:dyDescent="0.2">
      <c r="C110" s="3"/>
      <c r="D110" s="4"/>
      <c r="F110" s="36"/>
      <c r="G110" s="38"/>
      <c r="H110" s="37"/>
      <c r="I110" s="37"/>
      <c r="J110" s="41"/>
      <c r="K110" s="37"/>
    </row>
    <row r="111" spans="3:11" ht="15" x14ac:dyDescent="0.2">
      <c r="C111" s="3"/>
      <c r="D111" s="4"/>
      <c r="F111" s="36"/>
      <c r="G111" s="38"/>
      <c r="H111" s="37"/>
      <c r="I111" s="37"/>
      <c r="J111" s="41"/>
      <c r="K111" s="37"/>
    </row>
    <row r="112" spans="3:11" ht="15" x14ac:dyDescent="0.2">
      <c r="C112" s="3"/>
      <c r="D112" s="4"/>
      <c r="F112" s="36"/>
      <c r="G112" s="38"/>
      <c r="H112" s="37"/>
      <c r="I112" s="37"/>
      <c r="J112" s="41"/>
      <c r="K112" s="37"/>
    </row>
    <row r="113" spans="3:11" ht="15" x14ac:dyDescent="0.2">
      <c r="C113" s="3"/>
      <c r="D113" s="4"/>
      <c r="F113" s="36"/>
      <c r="G113" s="38"/>
      <c r="H113" s="37"/>
      <c r="I113" s="37"/>
      <c r="J113" s="41"/>
      <c r="K113" s="37"/>
    </row>
    <row r="114" spans="3:11" ht="15" x14ac:dyDescent="0.2">
      <c r="C114" s="3"/>
      <c r="D114" s="4"/>
      <c r="F114" s="36"/>
      <c r="G114" s="38"/>
      <c r="H114" s="37"/>
      <c r="I114" s="37"/>
      <c r="J114" s="41"/>
      <c r="K114" s="37"/>
    </row>
    <row r="115" spans="3:11" ht="15" x14ac:dyDescent="0.2">
      <c r="C115" s="3"/>
      <c r="D115" s="4"/>
      <c r="F115" s="36"/>
      <c r="G115" s="38"/>
      <c r="H115" s="37"/>
      <c r="I115" s="37"/>
      <c r="J115" s="41"/>
      <c r="K115" s="37"/>
    </row>
    <row r="116" spans="3:11" ht="15" x14ac:dyDescent="0.2">
      <c r="C116" s="3"/>
      <c r="D116" s="4"/>
      <c r="F116" s="36"/>
      <c r="G116" s="38"/>
      <c r="H116" s="37"/>
      <c r="I116" s="37"/>
      <c r="J116" s="41"/>
      <c r="K116" s="37"/>
    </row>
    <row r="117" spans="3:11" ht="15" x14ac:dyDescent="0.2">
      <c r="C117" s="3"/>
      <c r="D117" s="4"/>
      <c r="F117" s="36"/>
      <c r="G117" s="38"/>
      <c r="H117" s="37"/>
      <c r="I117" s="37"/>
      <c r="J117" s="41"/>
      <c r="K117" s="37"/>
    </row>
    <row r="118" spans="3:11" ht="15" x14ac:dyDescent="0.2">
      <c r="C118" s="3"/>
      <c r="D118" s="4"/>
      <c r="F118" s="36"/>
      <c r="G118" s="38"/>
      <c r="H118" s="37"/>
      <c r="I118" s="37"/>
      <c r="J118" s="41"/>
      <c r="K118" s="37"/>
    </row>
    <row r="119" spans="3:11" ht="15" x14ac:dyDescent="0.2">
      <c r="C119" s="3"/>
      <c r="D119" s="4"/>
      <c r="F119" s="36"/>
      <c r="G119" s="38"/>
      <c r="H119" s="37"/>
      <c r="I119" s="37"/>
      <c r="J119" s="41"/>
      <c r="K119" s="37"/>
    </row>
    <row r="120" spans="3:11" ht="15" x14ac:dyDescent="0.2">
      <c r="C120" s="3"/>
      <c r="D120" s="4"/>
      <c r="F120" s="36"/>
      <c r="G120" s="38"/>
      <c r="H120" s="37"/>
      <c r="I120" s="37"/>
      <c r="J120" s="41"/>
      <c r="K120" s="37"/>
    </row>
    <row r="121" spans="3:11" ht="15" x14ac:dyDescent="0.2">
      <c r="C121" s="3"/>
      <c r="D121" s="4"/>
      <c r="F121" s="36"/>
      <c r="G121" s="38"/>
      <c r="H121" s="37"/>
      <c r="I121" s="37"/>
      <c r="J121" s="41"/>
      <c r="K121" s="37"/>
    </row>
    <row r="122" spans="3:11" ht="15" x14ac:dyDescent="0.2">
      <c r="C122" s="3"/>
      <c r="D122" s="4"/>
      <c r="F122" s="36"/>
      <c r="G122" s="38"/>
      <c r="H122" s="37"/>
      <c r="I122" s="37"/>
      <c r="J122" s="41"/>
      <c r="K122" s="37"/>
    </row>
    <row r="123" spans="3:11" ht="15" x14ac:dyDescent="0.2">
      <c r="C123" s="3"/>
      <c r="D123" s="4"/>
      <c r="F123" s="36"/>
      <c r="G123" s="38"/>
      <c r="H123" s="37"/>
      <c r="I123" s="37"/>
      <c r="J123" s="41"/>
      <c r="K123" s="37"/>
    </row>
    <row r="124" spans="3:11" ht="15" x14ac:dyDescent="0.2">
      <c r="C124" s="3"/>
      <c r="D124" s="4"/>
      <c r="F124" s="36"/>
      <c r="G124" s="38"/>
      <c r="H124" s="37"/>
      <c r="I124" s="37"/>
      <c r="J124" s="41"/>
      <c r="K124" s="37"/>
    </row>
    <row r="125" spans="3:11" ht="15" x14ac:dyDescent="0.2">
      <c r="C125" s="3"/>
      <c r="D125" s="4"/>
      <c r="F125" s="36"/>
      <c r="G125" s="38"/>
      <c r="H125" s="37"/>
      <c r="I125" s="37"/>
      <c r="J125" s="41"/>
      <c r="K125" s="37"/>
    </row>
    <row r="126" spans="3:11" ht="15" x14ac:dyDescent="0.2">
      <c r="C126" s="3"/>
      <c r="D126" s="4"/>
      <c r="F126" s="36"/>
      <c r="G126" s="38"/>
      <c r="H126" s="37"/>
      <c r="I126" s="37"/>
      <c r="J126" s="41"/>
      <c r="K126" s="37"/>
    </row>
    <row r="127" spans="3:11" ht="15" x14ac:dyDescent="0.2">
      <c r="C127" s="3"/>
      <c r="D127" s="4"/>
      <c r="F127" s="36"/>
      <c r="G127" s="38"/>
      <c r="H127" s="37"/>
      <c r="I127" s="37"/>
      <c r="J127" s="41"/>
      <c r="K127" s="37"/>
    </row>
    <row r="128" spans="3:11" ht="15" x14ac:dyDescent="0.2">
      <c r="C128" s="3"/>
      <c r="D128" s="4"/>
      <c r="F128" s="36"/>
      <c r="G128" s="38"/>
      <c r="H128" s="37"/>
      <c r="I128" s="37"/>
      <c r="J128" s="41"/>
      <c r="K128" s="37"/>
    </row>
    <row r="129" spans="3:11" ht="15" x14ac:dyDescent="0.2">
      <c r="C129" s="3"/>
      <c r="D129" s="4"/>
      <c r="F129" s="36"/>
      <c r="G129" s="38"/>
      <c r="H129" s="37"/>
      <c r="I129" s="37"/>
      <c r="J129" s="41"/>
      <c r="K129" s="37"/>
    </row>
    <row r="130" spans="3:11" ht="15" x14ac:dyDescent="0.2">
      <c r="C130" s="3"/>
      <c r="D130" s="4"/>
      <c r="F130" s="36"/>
      <c r="G130" s="38"/>
      <c r="H130" s="37"/>
      <c r="I130" s="37"/>
      <c r="J130" s="41"/>
      <c r="K130" s="37"/>
    </row>
    <row r="131" spans="3:11" ht="15" x14ac:dyDescent="0.2">
      <c r="C131" s="3"/>
      <c r="D131" s="4"/>
      <c r="F131" s="36"/>
      <c r="G131" s="38"/>
      <c r="H131" s="37"/>
      <c r="I131" s="37"/>
      <c r="J131" s="41"/>
      <c r="K131" s="37"/>
    </row>
    <row r="132" spans="3:11" ht="15" x14ac:dyDescent="0.2">
      <c r="C132" s="3"/>
      <c r="D132" s="4"/>
      <c r="F132" s="36"/>
      <c r="G132" s="38"/>
      <c r="H132" s="37"/>
      <c r="I132" s="37"/>
      <c r="J132" s="41"/>
      <c r="K132" s="37"/>
    </row>
    <row r="133" spans="3:11" ht="15" x14ac:dyDescent="0.2">
      <c r="C133" s="3"/>
      <c r="D133" s="4"/>
      <c r="F133" s="36"/>
      <c r="G133" s="38"/>
      <c r="H133" s="37"/>
      <c r="I133" s="37"/>
      <c r="J133" s="41"/>
      <c r="K133" s="37"/>
    </row>
    <row r="134" spans="3:11" ht="15" x14ac:dyDescent="0.2">
      <c r="C134" s="3"/>
      <c r="D134" s="4"/>
      <c r="F134" s="36"/>
      <c r="G134" s="38"/>
      <c r="H134" s="37"/>
      <c r="I134" s="37"/>
      <c r="J134" s="41"/>
      <c r="K134" s="37"/>
    </row>
    <row r="135" spans="3:11" ht="15" x14ac:dyDescent="0.2">
      <c r="C135" s="3"/>
      <c r="D135" s="4"/>
      <c r="F135" s="36"/>
      <c r="G135" s="38"/>
      <c r="H135" s="37"/>
      <c r="I135" s="37"/>
      <c r="J135" s="41"/>
      <c r="K135" s="37"/>
    </row>
    <row r="136" spans="3:11" ht="15" x14ac:dyDescent="0.2">
      <c r="C136" s="3"/>
      <c r="D136" s="4"/>
      <c r="F136" s="36"/>
      <c r="G136" s="38"/>
      <c r="H136" s="37"/>
      <c r="I136" s="37"/>
      <c r="J136" s="41"/>
      <c r="K136" s="37"/>
    </row>
    <row r="137" spans="3:11" ht="15" x14ac:dyDescent="0.2">
      <c r="C137" s="3"/>
      <c r="D137" s="4"/>
      <c r="F137" s="36"/>
      <c r="G137" s="38"/>
      <c r="H137" s="37"/>
      <c r="I137" s="37"/>
      <c r="J137" s="41"/>
      <c r="K137" s="37"/>
    </row>
    <row r="138" spans="3:11" ht="15" x14ac:dyDescent="0.2">
      <c r="C138" s="3"/>
      <c r="D138" s="4"/>
      <c r="F138" s="36"/>
      <c r="G138" s="38"/>
      <c r="H138" s="37"/>
      <c r="I138" s="37"/>
      <c r="J138" s="41"/>
      <c r="K138" s="37"/>
    </row>
    <row r="139" spans="3:11" ht="15" x14ac:dyDescent="0.2">
      <c r="C139" s="3"/>
      <c r="D139" s="4"/>
      <c r="F139" s="36"/>
      <c r="G139" s="38"/>
      <c r="H139" s="37"/>
      <c r="I139" s="37"/>
      <c r="J139" s="41"/>
      <c r="K139" s="37"/>
    </row>
    <row r="140" spans="3:11" ht="15" x14ac:dyDescent="0.2">
      <c r="C140" s="3"/>
      <c r="D140" s="4"/>
      <c r="F140" s="36"/>
      <c r="G140" s="38"/>
      <c r="H140" s="37"/>
      <c r="I140" s="37"/>
      <c r="J140" s="41"/>
      <c r="K140" s="37"/>
    </row>
    <row r="141" spans="3:11" ht="15" x14ac:dyDescent="0.2">
      <c r="C141" s="3"/>
      <c r="D141" s="4"/>
      <c r="F141" s="36"/>
      <c r="G141" s="38"/>
      <c r="H141" s="37"/>
      <c r="I141" s="37"/>
      <c r="J141" s="41"/>
      <c r="K141" s="37"/>
    </row>
    <row r="142" spans="3:11" ht="15" x14ac:dyDescent="0.2">
      <c r="C142" s="3"/>
      <c r="D142" s="4"/>
      <c r="F142" s="36"/>
      <c r="G142" s="38"/>
      <c r="H142" s="37"/>
      <c r="I142" s="37"/>
      <c r="J142" s="41"/>
      <c r="K142" s="37"/>
    </row>
    <row r="143" spans="3:11" ht="15" x14ac:dyDescent="0.2">
      <c r="C143" s="3"/>
      <c r="D143" s="4"/>
      <c r="F143" s="36"/>
      <c r="G143" s="38"/>
      <c r="H143" s="37"/>
      <c r="I143" s="37"/>
      <c r="J143" s="41"/>
      <c r="K143" s="37"/>
    </row>
    <row r="144" spans="3:11" ht="15" x14ac:dyDescent="0.2">
      <c r="C144" s="3"/>
      <c r="D144" s="4"/>
      <c r="F144" s="36"/>
      <c r="G144" s="38"/>
      <c r="H144" s="37"/>
      <c r="I144" s="37"/>
      <c r="J144" s="41"/>
      <c r="K144" s="37"/>
    </row>
    <row r="145" spans="3:11" ht="15" x14ac:dyDescent="0.2">
      <c r="C145" s="3"/>
      <c r="D145" s="4"/>
      <c r="F145" s="36"/>
      <c r="G145" s="38"/>
      <c r="H145" s="37"/>
      <c r="I145" s="37"/>
      <c r="J145" s="41"/>
      <c r="K145" s="37"/>
    </row>
    <row r="146" spans="3:11" ht="15" x14ac:dyDescent="0.2">
      <c r="C146" s="3"/>
      <c r="D146" s="4"/>
      <c r="F146" s="36"/>
      <c r="G146" s="38"/>
      <c r="H146" s="37"/>
      <c r="I146" s="37"/>
      <c r="J146" s="41"/>
      <c r="K146" s="37"/>
    </row>
    <row r="147" spans="3:11" ht="15" x14ac:dyDescent="0.2">
      <c r="C147" s="3"/>
      <c r="D147" s="4"/>
      <c r="F147" s="36"/>
      <c r="G147" s="38"/>
      <c r="H147" s="37"/>
      <c r="I147" s="37"/>
      <c r="J147" s="41"/>
      <c r="K147" s="37"/>
    </row>
    <row r="148" spans="3:11" ht="15" x14ac:dyDescent="0.2">
      <c r="C148" s="3"/>
      <c r="D148" s="4"/>
      <c r="F148" s="36"/>
      <c r="G148" s="38"/>
      <c r="H148" s="37"/>
      <c r="I148" s="37"/>
      <c r="J148" s="41"/>
      <c r="K148" s="37"/>
    </row>
    <row r="149" spans="3:11" ht="15" x14ac:dyDescent="0.2">
      <c r="C149" s="3"/>
      <c r="D149" s="4"/>
      <c r="F149" s="36"/>
      <c r="G149" s="38"/>
      <c r="H149" s="37"/>
      <c r="I149" s="37"/>
      <c r="J149" s="41"/>
      <c r="K149" s="37"/>
    </row>
    <row r="150" spans="3:11" ht="15" x14ac:dyDescent="0.2">
      <c r="C150" s="3"/>
      <c r="D150" s="4"/>
      <c r="F150" s="36"/>
      <c r="G150" s="38"/>
      <c r="H150" s="37"/>
      <c r="I150" s="37"/>
      <c r="J150" s="41"/>
      <c r="K150" s="37"/>
    </row>
    <row r="151" spans="3:11" ht="15" x14ac:dyDescent="0.2">
      <c r="C151" s="3"/>
      <c r="D151" s="4"/>
      <c r="F151" s="36"/>
      <c r="G151" s="38"/>
      <c r="H151" s="37"/>
      <c r="I151" s="37"/>
      <c r="J151" s="41"/>
      <c r="K151" s="37"/>
    </row>
    <row r="152" spans="3:11" ht="15" x14ac:dyDescent="0.2">
      <c r="C152" s="3"/>
      <c r="D152" s="4"/>
      <c r="F152" s="36"/>
      <c r="G152" s="38"/>
      <c r="H152" s="37"/>
      <c r="I152" s="37"/>
      <c r="J152" s="41"/>
      <c r="K152" s="37"/>
    </row>
    <row r="153" spans="3:11" ht="15" x14ac:dyDescent="0.2">
      <c r="C153" s="3"/>
      <c r="D153" s="4"/>
      <c r="F153" s="36"/>
      <c r="G153" s="38"/>
      <c r="H153" s="37"/>
      <c r="I153" s="37"/>
      <c r="J153" s="41"/>
      <c r="K153" s="37"/>
    </row>
    <row r="154" spans="3:11" ht="15" x14ac:dyDescent="0.2">
      <c r="C154" s="3"/>
      <c r="D154" s="4"/>
      <c r="F154" s="36"/>
      <c r="G154" s="38"/>
      <c r="H154" s="37"/>
      <c r="I154" s="37"/>
      <c r="J154" s="41"/>
      <c r="K154" s="37"/>
    </row>
    <row r="155" spans="3:11" ht="15" x14ac:dyDescent="0.2">
      <c r="C155" s="3"/>
      <c r="D155" s="4"/>
      <c r="F155" s="36"/>
      <c r="G155" s="38"/>
      <c r="H155" s="37"/>
      <c r="I155" s="37"/>
      <c r="J155" s="41"/>
      <c r="K155" s="37"/>
    </row>
    <row r="156" spans="3:11" ht="15" x14ac:dyDescent="0.2">
      <c r="C156" s="3"/>
      <c r="D156" s="4"/>
      <c r="F156" s="36"/>
      <c r="G156" s="38"/>
      <c r="H156" s="37"/>
      <c r="I156" s="37"/>
      <c r="J156" s="41"/>
      <c r="K156" s="37"/>
    </row>
    <row r="157" spans="3:11" ht="15" x14ac:dyDescent="0.2">
      <c r="C157" s="3"/>
      <c r="D157" s="4"/>
      <c r="F157" s="36"/>
      <c r="G157" s="38"/>
      <c r="H157" s="37"/>
      <c r="I157" s="37"/>
      <c r="J157" s="41"/>
      <c r="K157" s="37"/>
    </row>
    <row r="158" spans="3:11" ht="15" x14ac:dyDescent="0.2">
      <c r="C158" s="3"/>
      <c r="D158" s="4"/>
      <c r="F158" s="36"/>
      <c r="G158" s="38"/>
      <c r="H158" s="37"/>
      <c r="I158" s="37"/>
      <c r="J158" s="41"/>
      <c r="K158" s="37"/>
    </row>
    <row r="159" spans="3:11" ht="15" x14ac:dyDescent="0.2">
      <c r="C159" s="3"/>
      <c r="D159" s="4"/>
      <c r="F159" s="36"/>
      <c r="G159" s="38"/>
      <c r="H159" s="37"/>
      <c r="I159" s="37"/>
      <c r="J159" s="41"/>
      <c r="K159" s="37"/>
    </row>
    <row r="160" spans="3:11" ht="15" x14ac:dyDescent="0.2">
      <c r="C160" s="3"/>
      <c r="D160" s="4"/>
      <c r="F160" s="36"/>
      <c r="G160" s="38"/>
      <c r="H160" s="37"/>
      <c r="I160" s="37"/>
      <c r="J160" s="41"/>
      <c r="K160" s="37"/>
    </row>
    <row r="161" spans="3:11" ht="15" x14ac:dyDescent="0.2">
      <c r="C161" s="3"/>
      <c r="D161" s="4"/>
      <c r="F161" s="36"/>
      <c r="G161" s="38"/>
      <c r="H161" s="37"/>
      <c r="I161" s="37"/>
      <c r="J161" s="41"/>
      <c r="K161" s="37"/>
    </row>
    <row r="162" spans="3:11" ht="15" x14ac:dyDescent="0.2">
      <c r="C162" s="3"/>
      <c r="D162" s="4"/>
      <c r="F162" s="36"/>
      <c r="G162" s="38"/>
      <c r="H162" s="37"/>
      <c r="I162" s="37"/>
      <c r="J162" s="41"/>
      <c r="K162" s="37"/>
    </row>
    <row r="163" spans="3:11" ht="15" x14ac:dyDescent="0.2">
      <c r="C163" s="3"/>
      <c r="D163" s="4"/>
      <c r="F163" s="36"/>
      <c r="G163" s="38"/>
      <c r="H163" s="37"/>
      <c r="I163" s="37"/>
      <c r="J163" s="41"/>
      <c r="K163" s="37"/>
    </row>
    <row r="164" spans="3:11" ht="15" x14ac:dyDescent="0.2">
      <c r="C164" s="3"/>
      <c r="D164" s="4"/>
      <c r="F164" s="36"/>
      <c r="G164" s="38"/>
      <c r="H164" s="37"/>
      <c r="I164" s="37"/>
      <c r="J164" s="41"/>
      <c r="K164" s="37"/>
    </row>
    <row r="165" spans="3:11" ht="15" x14ac:dyDescent="0.2">
      <c r="C165" s="3"/>
      <c r="D165" s="4"/>
      <c r="F165" s="36"/>
      <c r="G165" s="38"/>
      <c r="H165" s="37"/>
      <c r="I165" s="37"/>
      <c r="J165" s="41"/>
      <c r="K165" s="37"/>
    </row>
    <row r="166" spans="3:11" ht="15" x14ac:dyDescent="0.2">
      <c r="C166" s="3"/>
      <c r="D166" s="4"/>
      <c r="F166" s="36"/>
      <c r="G166" s="38"/>
      <c r="H166" s="37"/>
      <c r="I166" s="37"/>
      <c r="J166" s="41"/>
      <c r="K166" s="37"/>
    </row>
    <row r="167" spans="3:11" ht="15" x14ac:dyDescent="0.2">
      <c r="C167" s="3"/>
      <c r="D167" s="4"/>
      <c r="F167" s="36"/>
      <c r="G167" s="38"/>
      <c r="H167" s="37"/>
      <c r="I167" s="37"/>
      <c r="J167" s="41"/>
      <c r="K167" s="37"/>
    </row>
    <row r="168" spans="3:11" ht="15" x14ac:dyDescent="0.2">
      <c r="C168" s="3"/>
      <c r="D168" s="4"/>
      <c r="F168" s="36"/>
      <c r="G168" s="38"/>
      <c r="H168" s="37"/>
      <c r="I168" s="37"/>
      <c r="J168" s="41"/>
      <c r="K168" s="37"/>
    </row>
    <row r="169" spans="3:11" ht="15" x14ac:dyDescent="0.2">
      <c r="C169" s="3"/>
      <c r="D169" s="4"/>
      <c r="F169" s="36"/>
      <c r="G169" s="38"/>
      <c r="H169" s="37"/>
      <c r="I169" s="37"/>
      <c r="J169" s="41"/>
      <c r="K169" s="37"/>
    </row>
    <row r="170" spans="3:11" ht="15" x14ac:dyDescent="0.2">
      <c r="C170" s="3"/>
      <c r="D170" s="4"/>
      <c r="F170" s="36"/>
      <c r="G170" s="38"/>
      <c r="H170" s="37"/>
      <c r="I170" s="37"/>
      <c r="J170" s="41"/>
      <c r="K170" s="37"/>
    </row>
    <row r="171" spans="3:11" ht="15" x14ac:dyDescent="0.2">
      <c r="C171" s="3"/>
      <c r="D171" s="4"/>
      <c r="F171" s="36"/>
      <c r="G171" s="38"/>
      <c r="H171" s="37"/>
      <c r="I171" s="37"/>
      <c r="J171" s="41"/>
      <c r="K171" s="37"/>
    </row>
    <row r="172" spans="3:11" ht="15" x14ac:dyDescent="0.2">
      <c r="C172" s="3"/>
      <c r="D172" s="4"/>
      <c r="F172" s="36"/>
      <c r="G172" s="38"/>
      <c r="H172" s="37"/>
      <c r="I172" s="37"/>
      <c r="J172" s="41"/>
      <c r="K172" s="37"/>
    </row>
    <row r="173" spans="3:11" ht="15" x14ac:dyDescent="0.2">
      <c r="C173" s="3"/>
      <c r="D173" s="4"/>
      <c r="F173" s="36"/>
      <c r="G173" s="38"/>
      <c r="H173" s="37"/>
      <c r="I173" s="37"/>
      <c r="J173" s="41"/>
      <c r="K173" s="37"/>
    </row>
    <row r="174" spans="3:11" ht="15" x14ac:dyDescent="0.2">
      <c r="C174" s="3"/>
      <c r="D174" s="4"/>
      <c r="F174" s="36"/>
      <c r="G174" s="38"/>
      <c r="H174" s="37"/>
      <c r="I174" s="37"/>
      <c r="J174" s="41"/>
      <c r="K174" s="37"/>
    </row>
    <row r="175" spans="3:11" ht="15" x14ac:dyDescent="0.2">
      <c r="C175" s="3"/>
      <c r="D175" s="4"/>
      <c r="F175" s="36"/>
      <c r="G175" s="38"/>
      <c r="H175" s="37"/>
      <c r="I175" s="37"/>
      <c r="J175" s="41"/>
      <c r="K175" s="37"/>
    </row>
    <row r="176" spans="3:11" ht="15" x14ac:dyDescent="0.2">
      <c r="C176" s="3"/>
      <c r="D176" s="4"/>
      <c r="F176" s="36"/>
      <c r="G176" s="38"/>
      <c r="H176" s="37"/>
      <c r="I176" s="37"/>
      <c r="J176" s="41"/>
      <c r="K176" s="37"/>
    </row>
    <row r="177" spans="3:11" ht="15" x14ac:dyDescent="0.2">
      <c r="C177" s="3"/>
      <c r="D177" s="4"/>
      <c r="F177" s="36"/>
      <c r="G177" s="38"/>
      <c r="H177" s="37"/>
      <c r="I177" s="37"/>
      <c r="J177" s="41"/>
      <c r="K177" s="37"/>
    </row>
    <row r="178" spans="3:11" ht="15" x14ac:dyDescent="0.2">
      <c r="C178" s="3"/>
      <c r="D178" s="4"/>
      <c r="F178" s="36"/>
      <c r="G178" s="38"/>
      <c r="H178" s="37"/>
      <c r="I178" s="37"/>
      <c r="J178" s="41"/>
      <c r="K178" s="37"/>
    </row>
    <row r="179" spans="3:11" ht="15" x14ac:dyDescent="0.2">
      <c r="C179" s="3"/>
      <c r="D179" s="4"/>
    </row>
    <row r="180" spans="3:11" ht="15" x14ac:dyDescent="0.2">
      <c r="C180" s="3"/>
      <c r="D180" s="4"/>
    </row>
    <row r="181" spans="3:11" ht="15" x14ac:dyDescent="0.2">
      <c r="C181" s="3"/>
      <c r="D181" s="4"/>
    </row>
    <row r="182" spans="3:11" ht="15" x14ac:dyDescent="0.2">
      <c r="C182" s="3"/>
      <c r="D182" s="4"/>
    </row>
    <row r="183" spans="3:11" ht="15" x14ac:dyDescent="0.2">
      <c r="C183" s="3"/>
      <c r="D183" s="4"/>
    </row>
    <row r="184" spans="3:11" ht="15" x14ac:dyDescent="0.2">
      <c r="C184" s="3"/>
      <c r="D184" s="4"/>
    </row>
    <row r="185" spans="3:11" ht="15" x14ac:dyDescent="0.2">
      <c r="C185" s="3"/>
      <c r="D185" s="4"/>
    </row>
    <row r="186" spans="3:11" ht="15" x14ac:dyDescent="0.2">
      <c r="C186" s="3"/>
      <c r="D186" s="4"/>
    </row>
    <row r="187" spans="3:11" ht="15" x14ac:dyDescent="0.2">
      <c r="C187" s="3"/>
      <c r="D187" s="4"/>
    </row>
    <row r="188" spans="3:11" ht="15" x14ac:dyDescent="0.2">
      <c r="C188" s="3"/>
      <c r="D188" s="4"/>
    </row>
    <row r="189" spans="3:11" ht="15" x14ac:dyDescent="0.2">
      <c r="C189" s="3"/>
      <c r="D189" s="4"/>
    </row>
    <row r="190" spans="3:11" ht="15" x14ac:dyDescent="0.2">
      <c r="C190" s="3"/>
      <c r="D190" s="4"/>
    </row>
    <row r="191" spans="3:11" ht="15" x14ac:dyDescent="0.2">
      <c r="C191" s="3"/>
      <c r="D191" s="4"/>
    </row>
    <row r="192" spans="3:11" ht="15" x14ac:dyDescent="0.2">
      <c r="C192" s="3"/>
      <c r="D192" s="4"/>
    </row>
    <row r="193" spans="3:4" ht="15" x14ac:dyDescent="0.2">
      <c r="C193" s="3"/>
      <c r="D193" s="4"/>
    </row>
    <row r="194" spans="3:4" ht="15" x14ac:dyDescent="0.2">
      <c r="C194" s="3"/>
      <c r="D194" s="4"/>
    </row>
    <row r="195" spans="3:4" ht="15" x14ac:dyDescent="0.2">
      <c r="C195" s="3"/>
      <c r="D195" s="4"/>
    </row>
    <row r="196" spans="3:4" ht="15" x14ac:dyDescent="0.2">
      <c r="C196" s="3"/>
      <c r="D196" s="4"/>
    </row>
    <row r="197" spans="3:4" ht="15" x14ac:dyDescent="0.2">
      <c r="C197" s="3"/>
      <c r="D197" s="4"/>
    </row>
    <row r="198" spans="3:4" ht="15" x14ac:dyDescent="0.2">
      <c r="C198" s="3"/>
      <c r="D198" s="4"/>
    </row>
    <row r="199" spans="3:4" ht="15" x14ac:dyDescent="0.2">
      <c r="C199" s="3"/>
      <c r="D199" s="4"/>
    </row>
    <row r="200" spans="3:4" ht="15" x14ac:dyDescent="0.2">
      <c r="C200" s="3"/>
      <c r="D200" s="4"/>
    </row>
    <row r="201" spans="3:4" ht="15" x14ac:dyDescent="0.2">
      <c r="C201" s="3"/>
      <c r="D201" s="4"/>
    </row>
    <row r="202" spans="3:4" ht="15" x14ac:dyDescent="0.2">
      <c r="C202" s="3"/>
      <c r="D202" s="4"/>
    </row>
    <row r="203" spans="3:4" ht="15" x14ac:dyDescent="0.2">
      <c r="C203" s="3"/>
      <c r="D203" s="4"/>
    </row>
    <row r="204" spans="3:4" ht="15" x14ac:dyDescent="0.2">
      <c r="C204" s="3"/>
      <c r="D204" s="4"/>
    </row>
    <row r="205" spans="3:4" ht="15" x14ac:dyDescent="0.2">
      <c r="C205" s="3"/>
      <c r="D205" s="4"/>
    </row>
    <row r="206" spans="3:4" ht="15" x14ac:dyDescent="0.2">
      <c r="C206" s="3"/>
      <c r="D206" s="4"/>
    </row>
    <row r="207" spans="3:4" ht="15" x14ac:dyDescent="0.2">
      <c r="C207" s="3"/>
      <c r="D207" s="4"/>
    </row>
    <row r="208" spans="3:4" ht="15" x14ac:dyDescent="0.2">
      <c r="C208" s="3"/>
      <c r="D208" s="4"/>
    </row>
    <row r="209" spans="3:4" ht="15" x14ac:dyDescent="0.2">
      <c r="C209" s="3"/>
      <c r="D209" s="4"/>
    </row>
    <row r="210" spans="3:4" ht="15" x14ac:dyDescent="0.2">
      <c r="C210" s="3"/>
      <c r="D210" s="4"/>
    </row>
    <row r="211" spans="3:4" ht="15" x14ac:dyDescent="0.2">
      <c r="C211" s="3"/>
      <c r="D211" s="4"/>
    </row>
    <row r="212" spans="3:4" ht="15" x14ac:dyDescent="0.2">
      <c r="C212" s="3"/>
      <c r="D212" s="4"/>
    </row>
    <row r="213" spans="3:4" ht="15" x14ac:dyDescent="0.2">
      <c r="C213" s="3"/>
      <c r="D213" s="4"/>
    </row>
    <row r="214" spans="3:4" ht="15" x14ac:dyDescent="0.2">
      <c r="C214" s="3"/>
      <c r="D214" s="4"/>
    </row>
    <row r="215" spans="3:4" ht="15" x14ac:dyDescent="0.2">
      <c r="C215" s="3"/>
      <c r="D215" s="4"/>
    </row>
    <row r="216" spans="3:4" ht="15" x14ac:dyDescent="0.2">
      <c r="C216" s="3"/>
      <c r="D216" s="4"/>
    </row>
    <row r="217" spans="3:4" ht="15" x14ac:dyDescent="0.2">
      <c r="C217" s="3"/>
      <c r="D217" s="4"/>
    </row>
    <row r="218" spans="3:4" ht="15" x14ac:dyDescent="0.2">
      <c r="C218" s="3"/>
      <c r="D218" s="4"/>
    </row>
    <row r="219" spans="3:4" ht="15" x14ac:dyDescent="0.2">
      <c r="C219" s="3"/>
      <c r="D219" s="4"/>
    </row>
    <row r="220" spans="3:4" ht="15" x14ac:dyDescent="0.2">
      <c r="C220" s="3"/>
      <c r="D220" s="4"/>
    </row>
    <row r="221" spans="3:4" ht="15" x14ac:dyDescent="0.2">
      <c r="C221" s="3"/>
      <c r="D221" s="4"/>
    </row>
    <row r="222" spans="3:4" ht="15" x14ac:dyDescent="0.2">
      <c r="C222" s="3"/>
      <c r="D222" s="4"/>
    </row>
    <row r="223" spans="3:4" ht="15" x14ac:dyDescent="0.2">
      <c r="C223" s="3"/>
      <c r="D223" s="4"/>
    </row>
    <row r="224" spans="3:4" ht="15" x14ac:dyDescent="0.2">
      <c r="C224" s="3"/>
      <c r="D224" s="4"/>
    </row>
  </sheetData>
  <mergeCells count="7">
    <mergeCell ref="F4:F7"/>
    <mergeCell ref="G4:G7"/>
    <mergeCell ref="B1:K2"/>
    <mergeCell ref="H4:H7"/>
    <mergeCell ref="I4:I7"/>
    <mergeCell ref="J4:J7"/>
    <mergeCell ref="K4:K7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BankRP</dc:creator>
  <cp:lastModifiedBy>Анастасия Келлер</cp:lastModifiedBy>
  <cp:lastPrinted>2024-04-26T05:38:43Z</cp:lastPrinted>
  <dcterms:created xsi:type="dcterms:W3CDTF">2007-04-16T07:34:00Z</dcterms:created>
  <dcterms:modified xsi:type="dcterms:W3CDTF">2024-04-26T11:21:58Z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FC94C8F4DB6847B8BB2A7D8015080202</vt:lpwstr>
  </property>
  <property fmtid="{D5CDD505-2E9C-101B-9397-08002B2CF9AE}" pid="3" name="KSOProductBuildVer">
    <vt:lpwstr>1049-11.2.0.11486</vt:lpwstr>
  </property>
  <property fmtid="{D5CDD505-2E9C-101B-9397-08002B2CF9AE}" pid="4" name="Version">
    <vt:lpwstr>1.0</vt:lpwstr>
  </property>
  <property fmtid="{D5CDD505-2E9C-101B-9397-08002B2CF9AE}" pid="5" name="CurrentVersion">
    <vt:lpwstr>1.0</vt:lpwstr>
  </property>
</Properties>
</file>