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2023-2024\1. Ежемесячный, еженедельный по 32 наименованиям\2024\4. Апрель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K29" i="1" l="1"/>
  <c r="K20" i="1"/>
  <c r="J20" i="1"/>
  <c r="J11" i="1"/>
  <c r="H34" i="1"/>
  <c r="H18" i="1"/>
  <c r="H19" i="1"/>
  <c r="H11" i="1"/>
  <c r="G26" i="1"/>
  <c r="G20" i="1"/>
  <c r="K40" i="1" l="1"/>
  <c r="K28" i="1"/>
  <c r="K21" i="1"/>
  <c r="K14" i="1"/>
  <c r="K15" i="1"/>
  <c r="K16" i="1"/>
  <c r="K13" i="1"/>
  <c r="G15" i="1"/>
  <c r="G13" i="1"/>
  <c r="G40" i="1"/>
  <c r="G31" i="1"/>
  <c r="G32" i="1"/>
  <c r="G29" i="1"/>
  <c r="G14" i="1"/>
  <c r="J28" i="1" l="1"/>
  <c r="J8" i="1"/>
  <c r="K25" i="1" l="1"/>
  <c r="J25" i="1"/>
  <c r="J15" i="1"/>
  <c r="J14" i="1"/>
  <c r="G25" i="1"/>
  <c r="J13" i="1" l="1"/>
  <c r="G34" i="1"/>
  <c r="G28" i="1"/>
  <c r="G27" i="1"/>
  <c r="K17" i="1" l="1"/>
  <c r="J29" i="1"/>
  <c r="J17" i="1"/>
  <c r="J16" i="1"/>
  <c r="K31" i="1" l="1"/>
  <c r="H16" i="1" l="1"/>
  <c r="F18" i="1" l="1"/>
  <c r="F19" i="1"/>
  <c r="G18" i="1"/>
  <c r="G19" i="1"/>
  <c r="K19" i="1"/>
  <c r="K18" i="1"/>
  <c r="J19" i="1"/>
  <c r="J18" i="1"/>
  <c r="K12" i="1" l="1"/>
  <c r="H13" i="1"/>
  <c r="G30" i="1"/>
  <c r="F24" i="1"/>
  <c r="J26" i="1" l="1"/>
  <c r="K34" i="1" l="1"/>
  <c r="K24" i="1"/>
  <c r="H32" i="1"/>
  <c r="H31" i="1"/>
  <c r="H28" i="1"/>
  <c r="K30" i="1" l="1"/>
  <c r="J35" i="1"/>
  <c r="J34" i="1"/>
  <c r="J33" i="1"/>
  <c r="J30" i="1"/>
  <c r="H24" i="1"/>
  <c r="H17" i="1"/>
  <c r="H15" i="1"/>
  <c r="G35" i="1"/>
  <c r="J22" i="1" l="1"/>
  <c r="G24" i="1"/>
  <c r="G22" i="1"/>
  <c r="J32" i="1" l="1"/>
  <c r="K33" i="1"/>
  <c r="K27" i="1"/>
  <c r="H30" i="1" l="1"/>
  <c r="G17" i="1"/>
  <c r="H26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<sst xmlns="http://schemas.openxmlformats.org/spreadsheetml/2006/main" count="81" uniqueCount="53">
  <si>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</si>
  <si>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</si>
  <si>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</si>
  <si>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</si>
  <si>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</si>
  <si>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</si>
  <si>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</si>
  <si>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</si>
  <si>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</si>
  <si>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</si>
  <si>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</si>
  <si>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</si>
  <si>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</si>
  <si>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</si>
  <si>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</si>
  <si>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</si>
  <si>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</si>
  <si>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</si>
  <si>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</si>
  <si>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</si>
  <si>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</si>
  <si>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</si>
  <si>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</si>
  <si>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</si>
  <si>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</si>
  <si>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</si>
  <si>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</si>
  <si>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</si>
  <si>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</si>
  <si>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</si>
  <si>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</si>
  <si>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</si>
  <si>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</si>
  <si>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</si>
  <si>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</si>
  <si>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</si>
  <si>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</si>
  <si>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</si>
  <si>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</si>
  <si>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</si>
  <si>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</si>
  <si>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</si>
  <si>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</si>
  <si>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</si>
  <si>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</si>
  <si>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</si>
  <si>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</si>
  <si>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</si>
  <si>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</si>
  <si>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</si>
  <si>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апрель 2024 г</t>
  </si>
  <si>
    <t>Ср. цены на 19.04.2024 год</t>
  </si>
  <si>
    <t>Информация об изменении цен на социально-значимые товары, 
реализуемые на территории г. Пыть-Ях
по состоянию на 26.04.2024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</si>
</sst>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9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26" xfId="0" applyNumberFormat="1" applyFont="1" applyFill="1" applyBorder="1" applyAlignment="1">
      <alignment horizontal="center" vertical="center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Fill="1"/>
    <xf numFmtId="4" fontId="5" fillId="2" borderId="7" xfId="0" applyNumberFormat="1" applyFont="1" applyFill="1" applyBorder="1" applyAlignment="1">
      <alignment horizontal="left" vertical="center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3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left"/>
    </xf>
    <xf numFmtId="164" fontId="0" fillId="2" borderId="0" xfId="0" applyNumberFormat="1" applyFont="1" applyFill="1"/>
    <xf numFmtId="164" fontId="0" fillId="0" borderId="0" xfId="0" applyNumberFormat="1" applyFont="1" applyFill="1" applyAlignment="1">
      <alignment horizontal="left"/>
    </xf>
    <xf numFmtId="164" fontId="0" fillId="2" borderId="0" xfId="0" applyNumberFormat="1" applyFont="1" applyFill="1" applyAlignment="1">
      <alignment horizontal="left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7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3" borderId="23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horizontal="center" vertical="center"/>
    </xf>
    <xf numFmtId="4" fontId="5" fillId="3" borderId="7" xfId="1" applyNumberFormat="1" applyFont="1" applyFill="1" applyBorder="1" applyAlignment="1">
      <alignment horizontal="center" vertical="center"/>
    </xf>
    <xf numFmtId="2" fontId="5" fillId="3" borderId="7" xfId="0" applyNumberFormat="1" applyFont="1" applyFill="1" applyBorder="1" applyAlignment="1">
      <alignment horizontal="center" vertical="center"/>
    </xf>
    <xf numFmtId="2" fontId="5" fillId="3" borderId="7" xfId="0" applyNumberFormat="1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G4" sqref="G4:G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3" customWidth="1"/>
    <col min="11" max="11" width="15.5703125" style="35" customWidth="1"/>
    <col min="12" max="12" width="12" style="1" customWidth="1"/>
    <col min="13" max="13" width="11.140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93" t="s">
        <v>52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5" ht="12.75" customHeight="1" x14ac:dyDescent="0.2"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1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90" t="s">
        <v>38</v>
      </c>
      <c r="G4" s="90" t="s">
        <v>39</v>
      </c>
      <c r="H4" s="96" t="s">
        <v>40</v>
      </c>
      <c r="I4" s="96" t="s">
        <v>41</v>
      </c>
      <c r="J4" s="96" t="s">
        <v>42</v>
      </c>
      <c r="K4" s="96" t="s">
        <v>43</v>
      </c>
      <c r="L4" s="90" t="s">
        <v>44</v>
      </c>
      <c r="M4" s="94" t="s">
        <v>51</v>
      </c>
    </row>
    <row r="5" spans="1:15" ht="18.75" x14ac:dyDescent="0.2">
      <c r="A5" s="2"/>
      <c r="B5" s="27"/>
      <c r="C5" s="19"/>
      <c r="D5" s="9" t="s">
        <v>0</v>
      </c>
      <c r="E5" s="10"/>
      <c r="F5" s="91"/>
      <c r="G5" s="91"/>
      <c r="H5" s="97"/>
      <c r="I5" s="97"/>
      <c r="J5" s="97"/>
      <c r="K5" s="97"/>
      <c r="L5" s="91"/>
      <c r="M5" s="95"/>
    </row>
    <row r="6" spans="1:15" ht="18.75" x14ac:dyDescent="0.2">
      <c r="A6" s="2"/>
      <c r="B6" s="27"/>
      <c r="C6" s="20" t="s">
        <v>49</v>
      </c>
      <c r="D6" s="11"/>
      <c r="E6" s="12"/>
      <c r="F6" s="91"/>
      <c r="G6" s="91"/>
      <c r="H6" s="97"/>
      <c r="I6" s="97"/>
      <c r="J6" s="97"/>
      <c r="K6" s="97"/>
      <c r="L6" s="91"/>
      <c r="M6" s="95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92"/>
      <c r="G7" s="92"/>
      <c r="H7" s="98"/>
      <c r="I7" s="98"/>
      <c r="J7" s="98"/>
      <c r="K7" s="98"/>
      <c r="L7" s="92"/>
      <c r="M7" s="95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0"/>
      <c r="G8" s="40"/>
      <c r="H8" s="60"/>
      <c r="I8" s="57">
        <v>295</v>
      </c>
      <c r="J8" s="64">
        <f>(219.99+399.99)/2</f>
        <v>309.99</v>
      </c>
      <c r="K8" s="58"/>
      <c r="L8" s="39">
        <f>(E8/M8)*100-100</f>
        <v>0</v>
      </c>
      <c r="M8" s="49">
        <v>302.40213292898579</v>
      </c>
      <c r="N8" s="47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61"/>
      <c r="G9" s="61"/>
      <c r="H9" s="62"/>
      <c r="I9" s="63">
        <v>495</v>
      </c>
      <c r="J9" s="64"/>
      <c r="K9" s="64"/>
      <c r="L9" s="65">
        <f t="shared" ref="L9:L38" si="1">(E9/M9)*100-100</f>
        <v>0</v>
      </c>
      <c r="M9" s="49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61"/>
      <c r="G10" s="61"/>
      <c r="H10" s="62"/>
      <c r="I10" s="63">
        <v>550</v>
      </c>
      <c r="J10" s="64"/>
      <c r="K10" s="64"/>
      <c r="L10" s="65">
        <f t="shared" si="1"/>
        <v>0</v>
      </c>
      <c r="M10" s="49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263.24339672045448</v>
      </c>
      <c r="F11" s="40">
        <v>320</v>
      </c>
      <c r="G11" s="40">
        <v>199.99</v>
      </c>
      <c r="H11" s="86">
        <f>(350+330)/2</f>
        <v>340</v>
      </c>
      <c r="I11" s="57">
        <v>350</v>
      </c>
      <c r="J11" s="89">
        <f>(179.99+199.99)/2</f>
        <v>189.99</v>
      </c>
      <c r="K11" s="58">
        <v>229.99</v>
      </c>
      <c r="L11" s="65">
        <f t="shared" si="1"/>
        <v>-1.3291455183873779</v>
      </c>
      <c r="M11" s="49">
        <v>266.78941629061302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0">
        <v>250</v>
      </c>
      <c r="G12" s="40">
        <v>169.99</v>
      </c>
      <c r="H12" s="40">
        <f>(220+250)/2</f>
        <v>235</v>
      </c>
      <c r="I12" s="57">
        <v>250</v>
      </c>
      <c r="J12" s="58">
        <v>169.99</v>
      </c>
      <c r="K12" s="58">
        <f>(169.99+199.99)/2</f>
        <v>184.99</v>
      </c>
      <c r="L12" s="65">
        <f t="shared" si="1"/>
        <v>0</v>
      </c>
      <c r="M12" s="49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822.02791361556103</v>
      </c>
      <c r="F13" s="40">
        <f>(270/0.5+250/0.18)/2</f>
        <v>964.44444444444446</v>
      </c>
      <c r="G13" s="78">
        <f>(99.99/0.18+119.99/0.18+142.99/0.18)/3</f>
        <v>672.16666666666663</v>
      </c>
      <c r="H13" s="40">
        <f>(420/0.5+190/0.18)/2</f>
        <v>947.77777777777783</v>
      </c>
      <c r="I13" s="57"/>
      <c r="J13" s="58">
        <f>(139.99/0.18+149.99/0.18+113.99/0.18)/3</f>
        <v>748.09259259259261</v>
      </c>
      <c r="K13" s="58">
        <f>(159.99/0.2+149.99/0.18)/2</f>
        <v>816.61388888888894</v>
      </c>
      <c r="L13" s="65">
        <f t="shared" si="1"/>
        <v>0</v>
      </c>
      <c r="M13" s="49">
        <v>822.02791361556103</v>
      </c>
      <c r="N13" s="15"/>
      <c r="O13" s="40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125.52119885217378</v>
      </c>
      <c r="F14" s="40">
        <v>140</v>
      </c>
      <c r="G14" s="40">
        <f>(108.99+106.99+87.99+219.99/1.8)/4</f>
        <v>106.54666666666665</v>
      </c>
      <c r="H14" s="40">
        <f>(140+150/0.8)/2</f>
        <v>163.75</v>
      </c>
      <c r="I14" s="57"/>
      <c r="J14" s="58">
        <f>(86.99/0.9+109.99+111.99+129.99)/4</f>
        <v>112.15638888888888</v>
      </c>
      <c r="K14" s="40">
        <f>(89.99/0.9+104.99+119.99+129.99)/4</f>
        <v>113.73972222222223</v>
      </c>
      <c r="L14" s="65">
        <f t="shared" si="1"/>
        <v>0</v>
      </c>
      <c r="M14" s="49">
        <v>125.52119885217378</v>
      </c>
      <c r="N14" s="46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77.624404769946096</v>
      </c>
      <c r="F15" s="40">
        <f>70/0.9</f>
        <v>77.777777777777771</v>
      </c>
      <c r="G15" s="40">
        <f>(57.99/0.9+65.99/0.9+114.99/1.4+189.99/2)/4</f>
        <v>78.721567460317459</v>
      </c>
      <c r="H15" s="40">
        <f>75/0.9</f>
        <v>83.333333333333329</v>
      </c>
      <c r="I15" s="57"/>
      <c r="J15" s="58">
        <f>(52.99/0.9+69.99/0.9+155.99/2+124.99/1.4)/4</f>
        <v>75.979503968253965</v>
      </c>
      <c r="K15" s="58">
        <f>(52.99/0.9+56.99/0.9+72.99/0.9+174.99/2)/4</f>
        <v>72.698750000000004</v>
      </c>
      <c r="L15" s="65">
        <f t="shared" si="1"/>
        <v>0</v>
      </c>
      <c r="M15" s="49">
        <v>77.624404769946096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0">
        <v>85</v>
      </c>
      <c r="G16" s="40">
        <f>(49.99/0.97+82.99/0.9+99.99/0.93)/3</f>
        <v>83.754440872531987</v>
      </c>
      <c r="H16" s="40">
        <f>(75/0.9+115/0.95+100)/3</f>
        <v>101.46198830409357</v>
      </c>
      <c r="I16" s="57"/>
      <c r="J16" s="58">
        <f>(52.99/0.95+77.99/0.95+82.99)/3</f>
        <v>73.621228070175448</v>
      </c>
      <c r="K16" s="58">
        <f>(54.99/0.9+64.99+84.99/0.977+82.99/0.95)/4</f>
        <v>75.109670715940311</v>
      </c>
      <c r="L16" s="65">
        <f t="shared" si="1"/>
        <v>0</v>
      </c>
      <c r="M16" s="49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75">
        <f>85/0.9</f>
        <v>94.444444444444443</v>
      </c>
      <c r="G17" s="75">
        <f>(72.99/0.9+79.99/0.9)/2</f>
        <v>84.98888888888888</v>
      </c>
      <c r="H17" s="75">
        <f>85/0.9</f>
        <v>94.444444444444443</v>
      </c>
      <c r="I17" s="76"/>
      <c r="J17" s="75">
        <f>(74.99/0.9+82.99+38.99/0.4+42.99/0.4)/4</f>
        <v>92.815555555555562</v>
      </c>
      <c r="K17" s="75">
        <f>(74.99/0.95+54.99/0.5+42.99/0.5+82.99)/4</f>
        <v>89.471710526315789</v>
      </c>
      <c r="L17" s="65">
        <f t="shared" si="1"/>
        <v>0</v>
      </c>
      <c r="M17" s="49">
        <v>91.159996234678474</v>
      </c>
      <c r="N17" s="46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247.95184319960543</v>
      </c>
      <c r="F18" s="75">
        <f>(85/0.4+110/0.4+132/0.5)/3</f>
        <v>250.5</v>
      </c>
      <c r="G18" s="75">
        <f>(99.99/0.5+139.99/0.5+129.99/0.5+79.99/0.3+64.99/0.3)/5</f>
        <v>244.64133333333334</v>
      </c>
      <c r="H18" s="87">
        <f>(125/0.47+145/0.5)/2</f>
        <v>277.97872340425533</v>
      </c>
      <c r="I18" s="76"/>
      <c r="J18" s="75">
        <f>(99.99/0.5+122.99/0.5+139.99/0.5+71.99/0.3+81.99/0.3)/5</f>
        <v>247.84133333333335</v>
      </c>
      <c r="K18" s="75">
        <f>(99.99/0.5+109.99/0.5+122.99/0.5)/3</f>
        <v>221.98</v>
      </c>
      <c r="L18" s="65">
        <f t="shared" si="1"/>
        <v>0.58415189668696144</v>
      </c>
      <c r="M18" s="49">
        <v>246.51183961294848</v>
      </c>
      <c r="N18" s="44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379.0967814193254</v>
      </c>
      <c r="F19" s="75">
        <f>(185/0.5+152/0.4+175/0.5)/3</f>
        <v>366.66666666666669</v>
      </c>
      <c r="G19" s="75">
        <f>(99.99/0.3+112.99/0.38+134.99/0.35)/3</f>
        <v>338.77593984962408</v>
      </c>
      <c r="H19" s="87">
        <f>(170/0.4+185/0.5)/2</f>
        <v>397.5</v>
      </c>
      <c r="I19" s="76"/>
      <c r="J19" s="75">
        <f>(99.99/0.35+139.99/0.33+144.99/0.38+179.99/0.38)/4</f>
        <v>391.27709045340623</v>
      </c>
      <c r="K19" s="75">
        <f>(129.99/0.3+119.99/0.3+149.99/0.33+99.99/0.3)/4</f>
        <v>405.27045454545453</v>
      </c>
      <c r="L19" s="65">
        <f t="shared" si="1"/>
        <v>0.64107816182155375</v>
      </c>
      <c r="M19" s="49">
        <v>376.68195566205361</v>
      </c>
      <c r="N19" s="45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48">
        <f t="shared" si="0"/>
        <v>134.06491757258192</v>
      </c>
      <c r="F20" s="40">
        <v>150</v>
      </c>
      <c r="G20" s="86">
        <f>(99.99+102.99+109.99+149.99)/4</f>
        <v>115.74</v>
      </c>
      <c r="H20" s="40">
        <v>160</v>
      </c>
      <c r="I20" s="57"/>
      <c r="J20" s="89">
        <f>(113.99+114.99+129.99+139.99)/4</f>
        <v>124.74000000000001</v>
      </c>
      <c r="K20" s="89">
        <f>(109.99+119.99+129.99+139.99)/4</f>
        <v>124.99000000000001</v>
      </c>
      <c r="L20" s="65">
        <f t="shared" si="1"/>
        <v>-2.0417077737353395</v>
      </c>
      <c r="M20" s="49">
        <v>136.85918213326744</v>
      </c>
      <c r="N20" s="46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79.397474171283534</v>
      </c>
      <c r="F21" s="40">
        <v>90</v>
      </c>
      <c r="G21" s="40">
        <v>72.989999999999995</v>
      </c>
      <c r="H21" s="40">
        <v>85</v>
      </c>
      <c r="I21" s="57"/>
      <c r="J21" s="58">
        <v>71.989999999999995</v>
      </c>
      <c r="K21" s="58">
        <f>(79.99+384.99/5)/2</f>
        <v>78.494</v>
      </c>
      <c r="L21" s="65">
        <f t="shared" si="1"/>
        <v>0</v>
      </c>
      <c r="M21" s="49">
        <v>79.397474171283534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0">
        <f>140/0.1</f>
        <v>1400</v>
      </c>
      <c r="G22" s="40">
        <f>(24.89/0.1+139.99/0.25+169.99/0.1+119.99/0.1)/4</f>
        <v>927.16499999999996</v>
      </c>
      <c r="H22" s="40">
        <f>250/0.2</f>
        <v>1250</v>
      </c>
      <c r="I22" s="57"/>
      <c r="J22" s="58">
        <f>(24.59/0.1+149.99/0.25)/2</f>
        <v>422.93</v>
      </c>
      <c r="K22" s="58">
        <f>(89.99/0.1+169.99/0.25+269.99/0.2)/3</f>
        <v>976.60333333333335</v>
      </c>
      <c r="L22" s="65">
        <f t="shared" si="1"/>
        <v>0</v>
      </c>
      <c r="M22" s="49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23.502369195309097</v>
      </c>
      <c r="F23" s="40">
        <v>35</v>
      </c>
      <c r="G23" s="40">
        <v>19.989999999999998</v>
      </c>
      <c r="H23" s="40">
        <v>30</v>
      </c>
      <c r="I23" s="57"/>
      <c r="J23" s="58">
        <v>17.989999999999998</v>
      </c>
      <c r="K23" s="58">
        <f>18.99</f>
        <v>18.989999999999998</v>
      </c>
      <c r="L23" s="65">
        <f t="shared" si="1"/>
        <v>0</v>
      </c>
      <c r="M23" s="49">
        <v>23.502369195309097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52.010210199639921</v>
      </c>
      <c r="F24" s="40">
        <f>(110/2+140/2)/2</f>
        <v>62.5</v>
      </c>
      <c r="G24" s="40">
        <f>94.99/2</f>
        <v>47.494999999999997</v>
      </c>
      <c r="H24" s="40">
        <f>(110+130)/4</f>
        <v>60</v>
      </c>
      <c r="I24" s="57"/>
      <c r="J24" s="58">
        <v>44.99</v>
      </c>
      <c r="K24" s="58">
        <f>(69.99/2+119.99/2)/2</f>
        <v>47.494999999999997</v>
      </c>
      <c r="L24" s="65">
        <f t="shared" si="1"/>
        <v>0</v>
      </c>
      <c r="M24" s="49">
        <v>52.010210199639921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79.626674918599477</v>
      </c>
      <c r="F25" s="40">
        <f>40/0.5</f>
        <v>80</v>
      </c>
      <c r="G25" s="40">
        <f>43.99/0.5</f>
        <v>87.98</v>
      </c>
      <c r="H25" s="40">
        <f>40/0.5</f>
        <v>80</v>
      </c>
      <c r="I25" s="57"/>
      <c r="J25" s="58">
        <f>(32.99/0.5+38.99/0.5)/2</f>
        <v>71.98</v>
      </c>
      <c r="K25" s="40">
        <f>(33.99/0.5+44.99/0.5)/2</f>
        <v>78.98</v>
      </c>
      <c r="L25" s="65">
        <f t="shared" si="1"/>
        <v>0</v>
      </c>
      <c r="M25" s="49">
        <v>79.626674918599477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78.927169853067696</v>
      </c>
      <c r="F26" s="40">
        <f>40/0.5</f>
        <v>80</v>
      </c>
      <c r="G26" s="86">
        <f>(39.99/0.5+41.99/0.5)/2</f>
        <v>81.98</v>
      </c>
      <c r="H26" s="40">
        <f>40/0.5</f>
        <v>80</v>
      </c>
      <c r="I26" s="57"/>
      <c r="J26" s="58">
        <f>(34.99/0.5+38/0.5)/2</f>
        <v>72.990000000000009</v>
      </c>
      <c r="K26" s="58">
        <f>39.99/0.5</f>
        <v>79.98</v>
      </c>
      <c r="L26" s="65">
        <f t="shared" si="1"/>
        <v>1.5317156824777243</v>
      </c>
      <c r="M26" s="49">
        <v>77.736468178966163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75">
        <f>60/0.8</f>
        <v>75</v>
      </c>
      <c r="G27" s="75">
        <f>(37.99/0.8+102.99/0.8)/2</f>
        <v>88.112499999999983</v>
      </c>
      <c r="H27" s="75">
        <f>100/0.9</f>
        <v>111.11111111111111</v>
      </c>
      <c r="I27" s="77"/>
      <c r="J27" s="75">
        <f>(32.99/0.8+99.99/0.9)/2</f>
        <v>76.168749999999989</v>
      </c>
      <c r="K27" s="75">
        <f>(49.99/0.8+99.99/0.4)/2</f>
        <v>156.23124999999999</v>
      </c>
      <c r="L27" s="65">
        <f t="shared" si="1"/>
        <v>0</v>
      </c>
      <c r="M27" s="49">
        <v>97.337503363444995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123.80866307096392</v>
      </c>
      <c r="F28" s="40">
        <f>(200/1.5+140/0.9)/2</f>
        <v>144.44444444444446</v>
      </c>
      <c r="G28" s="40">
        <f>(77.69/0.8+89.99/0.8+109.99/0.9)/3</f>
        <v>110.60370370370369</v>
      </c>
      <c r="H28" s="40">
        <f>(150/0.9+220/1.5)/2</f>
        <v>156.66666666666666</v>
      </c>
      <c r="I28" s="57"/>
      <c r="J28" s="58">
        <f>(77.49/0.8+84.99/0.9)/2</f>
        <v>95.647916666666646</v>
      </c>
      <c r="K28" s="58">
        <f>(84.99/0.8+99.99/0.8+119.99/0.9)/3</f>
        <v>121.51574074074074</v>
      </c>
      <c r="L28" s="65">
        <f t="shared" si="1"/>
        <v>0</v>
      </c>
      <c r="M28" s="49">
        <v>123.80866307096392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77.232100716783975</v>
      </c>
      <c r="F29" s="78">
        <f>90/0.9</f>
        <v>100</v>
      </c>
      <c r="G29" s="78">
        <f>38.39/0.8</f>
        <v>47.987499999999997</v>
      </c>
      <c r="H29" s="78">
        <f>100/0.8</f>
        <v>125</v>
      </c>
      <c r="I29" s="57"/>
      <c r="J29" s="58">
        <f>59.99/0.8</f>
        <v>74.987499999999997</v>
      </c>
      <c r="K29" s="89">
        <f>54.98/0.9</f>
        <v>61.088888888888881</v>
      </c>
      <c r="L29" s="65">
        <f t="shared" si="1"/>
        <v>1.3490309184118132</v>
      </c>
      <c r="M29" s="50">
        <v>76.20408406169912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75">
        <f>80/0.8</f>
        <v>100</v>
      </c>
      <c r="G30" s="75">
        <f>(34.99/0.8+69.99/0.7)/2</f>
        <v>71.861607142857139</v>
      </c>
      <c r="H30" s="75">
        <f>100/0.9</f>
        <v>111.11111111111111</v>
      </c>
      <c r="I30" s="77"/>
      <c r="J30" s="75">
        <f>39.99/0.8</f>
        <v>49.987499999999997</v>
      </c>
      <c r="K30" s="75">
        <f>(54.99/0.8+39.99/0.7)/2</f>
        <v>62.933035714285715</v>
      </c>
      <c r="L30" s="65">
        <f t="shared" si="1"/>
        <v>0</v>
      </c>
      <c r="M30" s="50">
        <v>75.857565885402806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106.44590777447311</v>
      </c>
      <c r="F31" s="78">
        <f>120/0.9</f>
        <v>133.33333333333334</v>
      </c>
      <c r="G31" s="78">
        <f>(69.99/0.8+74.99/0.8+70.89/0.85+104.99/0.9)/4</f>
        <v>95.320138888888891</v>
      </c>
      <c r="H31" s="78">
        <f>120/0.9</f>
        <v>133.33333333333334</v>
      </c>
      <c r="I31" s="57"/>
      <c r="J31" s="58">
        <v>92.18</v>
      </c>
      <c r="K31" s="78">
        <f>(39.99/0.8+79.99/0.8+89.99/0.8)/3</f>
        <v>87.487499999999997</v>
      </c>
      <c r="L31" s="65">
        <f t="shared" si="1"/>
        <v>0</v>
      </c>
      <c r="M31" s="50">
        <v>106.44590777447311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79"/>
      <c r="G32" s="75">
        <f>(18.29/0.4+69.99/0.8+39.99/0.8)/3</f>
        <v>61.066666666666663</v>
      </c>
      <c r="H32" s="75">
        <f>80/0.8</f>
        <v>100</v>
      </c>
      <c r="I32" s="76"/>
      <c r="J32" s="75">
        <f>(14.99/0.4+59.99/0.9)/2</f>
        <v>52.06527777777778</v>
      </c>
      <c r="K32" s="75">
        <f>(29.99/0.4+34.99/0.4+39.99/0.8)/3</f>
        <v>70.8125</v>
      </c>
      <c r="L32" s="65">
        <f t="shared" si="1"/>
        <v>0</v>
      </c>
      <c r="M32" s="51">
        <v>68.883559828454409</v>
      </c>
      <c r="N32" s="16"/>
    </row>
    <row r="33" spans="2:14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75">
        <f>85/0.6</f>
        <v>141.66666666666669</v>
      </c>
      <c r="G33" s="75">
        <f>29.99/0.8</f>
        <v>37.487499999999997</v>
      </c>
      <c r="H33" s="75">
        <f>80/0.65</f>
        <v>123.07692307692307</v>
      </c>
      <c r="I33" s="76"/>
      <c r="J33" s="75">
        <f>22.99/0.6</f>
        <v>38.316666666666663</v>
      </c>
      <c r="K33" s="75">
        <f>34.99/0.8</f>
        <v>43.737499999999997</v>
      </c>
      <c r="L33" s="65">
        <f>(E33/M33)*100-100</f>
        <v>0</v>
      </c>
      <c r="M33" s="51">
        <v>64.256119158835062</v>
      </c>
      <c r="N33" s="16"/>
    </row>
    <row r="34" spans="2:14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90.214732265140853</v>
      </c>
      <c r="F34" s="78">
        <f>90</f>
        <v>90</v>
      </c>
      <c r="G34" s="78">
        <f>(34.99/0.4+23.99/0.4)/2</f>
        <v>73.724999999999994</v>
      </c>
      <c r="H34" s="88">
        <f>80/0.47</f>
        <v>170.21276595744681</v>
      </c>
      <c r="I34" s="57"/>
      <c r="J34" s="58">
        <f>(19.99/0.4+49.99/0.45+34.99/0.4)/3</f>
        <v>82.846296296296288</v>
      </c>
      <c r="K34" s="58">
        <f>(19.99/0.4+34.99/0.45)/2</f>
        <v>63.865277777777777</v>
      </c>
      <c r="L34" s="65">
        <f t="shared" si="1"/>
        <v>0.42195592159059458</v>
      </c>
      <c r="M34" s="51">
        <v>89.835665355473111</v>
      </c>
    </row>
    <row r="35" spans="2:14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80">
        <f>80/0.4</f>
        <v>200</v>
      </c>
      <c r="G35" s="80">
        <f>18.99/0.4</f>
        <v>47.474999999999994</v>
      </c>
      <c r="H35" s="80">
        <f>70/0.8</f>
        <v>87.5</v>
      </c>
      <c r="I35" s="77"/>
      <c r="J35" s="80">
        <f>(18.99/0.4+31.49/0.4)/2</f>
        <v>63.099999999999994</v>
      </c>
      <c r="K35" s="80">
        <f>(34.99/0.4+39.99/0.45+19.99/0.45+69.99/0.45)/4</f>
        <v>94.074305555555554</v>
      </c>
      <c r="L35" s="66">
        <f t="shared" si="1"/>
        <v>0</v>
      </c>
      <c r="M35" s="51">
        <v>86.816181591648572</v>
      </c>
    </row>
    <row r="36" spans="2:14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28.362190504384102</v>
      </c>
      <c r="F36" s="81">
        <v>35</v>
      </c>
      <c r="G36" s="81">
        <v>24.99</v>
      </c>
      <c r="H36" s="81">
        <v>35</v>
      </c>
      <c r="I36" s="57"/>
      <c r="J36" s="89">
        <v>23.99</v>
      </c>
      <c r="K36" s="58">
        <v>24.99</v>
      </c>
      <c r="L36" s="66">
        <f t="shared" si="1"/>
        <v>0.85519080272212022</v>
      </c>
      <c r="M36" s="51">
        <v>28.121696343683482</v>
      </c>
    </row>
    <row r="37" spans="2:14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43.829880224626528</v>
      </c>
      <c r="F37" s="81">
        <v>50</v>
      </c>
      <c r="G37" s="85">
        <v>36.99</v>
      </c>
      <c r="H37" s="81">
        <v>50</v>
      </c>
      <c r="I37" s="57"/>
      <c r="J37" s="89">
        <v>34.99</v>
      </c>
      <c r="K37" s="58">
        <v>49.99</v>
      </c>
      <c r="L37" s="66">
        <f t="shared" si="1"/>
        <v>4.1660854270542842</v>
      </c>
      <c r="M37" s="51">
        <v>42.076919800657997</v>
      </c>
    </row>
    <row r="38" spans="2:14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38.547585645965533</v>
      </c>
      <c r="F38" s="81">
        <v>40</v>
      </c>
      <c r="G38" s="81">
        <v>38.99</v>
      </c>
      <c r="H38" s="81">
        <v>35</v>
      </c>
      <c r="I38" s="57"/>
      <c r="J38" s="58">
        <v>38.99</v>
      </c>
      <c r="K38" s="58">
        <v>39.99</v>
      </c>
      <c r="L38" s="66">
        <f t="shared" si="1"/>
        <v>0</v>
      </c>
      <c r="M38" s="51">
        <v>38.547585645965533</v>
      </c>
    </row>
    <row r="39" spans="2:14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52.089476902186</v>
      </c>
      <c r="F39" s="81">
        <v>50</v>
      </c>
      <c r="G39" s="81">
        <v>49.5</v>
      </c>
      <c r="H39" s="81">
        <v>50</v>
      </c>
      <c r="I39" s="57"/>
      <c r="J39" s="89">
        <v>61.99</v>
      </c>
      <c r="K39" s="58">
        <v>49.99</v>
      </c>
      <c r="L39" s="66">
        <f>(E39/M39)*100-100</f>
        <v>0.32579286320108736</v>
      </c>
      <c r="M39" s="51">
        <v>51.920324191419482</v>
      </c>
      <c r="N39" s="59"/>
    </row>
    <row r="40" spans="2:14" s="5" customFormat="1" ht="30" customHeight="1" thickBot="1" x14ac:dyDescent="0.25">
      <c r="B40" s="29"/>
      <c r="C40" s="53" t="s">
        <v>27</v>
      </c>
      <c r="D40" s="54" t="s">
        <v>4</v>
      </c>
      <c r="E40" s="55">
        <f t="shared" si="0"/>
        <v>141.33559456620466</v>
      </c>
      <c r="F40" s="82">
        <v>180</v>
      </c>
      <c r="G40" s="82">
        <f>(106.99+119.99)/2</f>
        <v>113.49</v>
      </c>
      <c r="H40" s="82">
        <v>180</v>
      </c>
      <c r="I40" s="83"/>
      <c r="J40" s="84">
        <v>117.99</v>
      </c>
      <c r="K40" s="84">
        <f>(119.99+139.99)/2</f>
        <v>129.99</v>
      </c>
      <c r="L40" s="67">
        <f>(E40/M40)*100-100</f>
        <v>0</v>
      </c>
      <c r="M40" s="56">
        <v>141.33559456620466</v>
      </c>
    </row>
    <row r="41" spans="2:14" ht="15" x14ac:dyDescent="0.2">
      <c r="C41" s="3"/>
      <c r="D41" s="4"/>
      <c r="F41" s="38"/>
      <c r="G41" s="38"/>
      <c r="H41" s="42"/>
      <c r="I41" s="42"/>
      <c r="J41" s="42"/>
      <c r="K41" s="42"/>
      <c r="L41" s="38"/>
      <c r="M41" s="38"/>
    </row>
    <row r="42" spans="2:14" ht="16.5" x14ac:dyDescent="0.25">
      <c r="C42" s="3"/>
      <c r="D42" s="4"/>
      <c r="F42" s="36"/>
      <c r="H42" s="70"/>
      <c r="I42" s="69"/>
      <c r="J42" s="71"/>
      <c r="K42" s="68"/>
      <c r="L42" s="38"/>
      <c r="M42" s="38"/>
    </row>
    <row r="43" spans="2:14" ht="15" x14ac:dyDescent="0.2">
      <c r="C43" s="3"/>
      <c r="D43" s="4"/>
      <c r="F43" s="36"/>
      <c r="G43" s="72"/>
      <c r="H43" s="73"/>
      <c r="I43" s="73"/>
      <c r="J43" s="74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2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2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2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2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2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2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2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2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2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2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2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2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2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2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2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2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2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2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2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2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2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2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2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2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2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2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2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2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2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2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2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2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2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2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2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2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2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2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2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2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2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2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2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2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2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2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2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2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2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2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2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2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2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2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2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2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2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2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2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2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2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2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2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2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2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2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2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2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2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2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2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2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2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2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2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2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2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2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2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2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2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2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2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2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2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2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2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2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2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2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2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2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2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2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2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2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2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2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2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2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2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2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2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2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2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2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2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2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2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2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2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2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2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2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2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2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2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2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2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2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2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2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2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2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2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2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2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2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2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2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2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2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2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2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2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2024-04-26T05:38:43Z</cp:lastPrinted>
  <dcterms:created xsi:type="dcterms:W3CDTF">2007-04-16T07:34:00Z</dcterms:created>
  <dcterms:modified xsi:type="dcterms:W3CDTF">2024-04-26T06:02:01Z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